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3"/>
  <workbookPr filterPrivacy="1" codeName="ThisWorkbook" defaultThemeVersion="124226"/>
  <xr:revisionPtr revIDLastSave="0" documentId="13_ncr:1_{B35179A1-1D02-E14A-A5BB-5035ED641EC6}" xr6:coauthVersionLast="47" xr6:coauthVersionMax="47" xr10:uidLastSave="{00000000-0000-0000-0000-000000000000}"/>
  <bookViews>
    <workbookView xWindow="5360" yWindow="500" windowWidth="45680" windowHeight="16440" xr2:uid="{AE3D2D7B-9EC2-6A4D-8E6D-D1AB2C5C21D5}"/>
  </bookViews>
  <sheets>
    <sheet name="Input_Output" sheetId="1" r:id="rId1"/>
    <sheet name="Definitions" sheetId="2" r:id="rId2"/>
    <sheet name="Takeoff Distance Calculation" sheetId="3" r:id="rId3"/>
  </sheets>
  <externalReferences>
    <externalReference r:id="rId4"/>
  </externalReferences>
  <definedNames>
    <definedName name="kg_gal" localSheetId="2">[1]Definitions!$H$5</definedName>
    <definedName name="kg_gal">Definitions!$H$5</definedName>
    <definedName name="kg_lbs" localSheetId="2">[1]Definitions!$H$3</definedName>
    <definedName name="kg_lbs">Definitions!$H$3</definedName>
    <definedName name="lbs_gal" localSheetId="2">[1]Definitions!$H$4</definedName>
    <definedName name="lbs_gal">Definitions!$H$4</definedName>
    <definedName name="liter_gal" localSheetId="2">[1]Definitions!$H$7</definedName>
    <definedName name="liter_gal">Definitions!$H$7</definedName>
    <definedName name="liter_kg" localSheetId="2">[1]Definitions!$H$6</definedName>
    <definedName name="liter_kg">Definitions!$H$6</definedName>
    <definedName name="m_inch" localSheetId="2">[1]Definitions!$H$8</definedName>
    <definedName name="m_inch">Definitions!$H$8</definedName>
    <definedName name="Max_Tip_Fuel" localSheetId="2">[1]Input_Output!#REF!</definedName>
    <definedName name="Max_Tip_Fuel">Input_Output!#REF!</definedName>
    <definedName name="Max_Wing_Fuel">Input_Output!$C$15</definedName>
    <definedName name="_xlnm.Print_Area" localSheetId="0">Input_Output!$A$1:$O$28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" i="3" l="1"/>
  <c r="C23" i="1"/>
  <c r="C22" i="1" l="1"/>
  <c r="B16" i="3" s="1"/>
  <c r="B15" i="3"/>
  <c r="B13" i="3"/>
  <c r="B17" i="3"/>
  <c r="C17" i="3" s="1"/>
  <c r="D17" i="3" s="1" a="1"/>
  <c r="D17" i="3" s="1"/>
  <c r="D23" i="1" s="1"/>
  <c r="D19" i="1"/>
  <c r="X24" i="3" l="1"/>
  <c r="Q24" i="3"/>
  <c r="P23" i="3"/>
  <c r="J24" i="3"/>
  <c r="I23" i="3"/>
  <c r="C24" i="3"/>
  <c r="B23" i="3"/>
  <c r="W23" i="3"/>
  <c r="C13" i="3"/>
  <c r="C14" i="3"/>
  <c r="B49" i="3"/>
  <c r="D14" i="3" l="1"/>
  <c r="W24" i="3"/>
  <c r="C16" i="3"/>
  <c r="D22" i="1" s="1"/>
  <c r="I24" i="3"/>
  <c r="B48" i="3"/>
  <c r="P24" i="3"/>
  <c r="C15" i="3" l="1"/>
  <c r="D15" i="3" s="1"/>
  <c r="E15" i="3" s="1"/>
  <c r="D20" i="1"/>
  <c r="B24" i="3"/>
  <c r="F15" i="3" l="1"/>
  <c r="P21" i="3"/>
  <c r="I21" i="3"/>
  <c r="C22" i="3"/>
  <c r="W21" i="3"/>
  <c r="B21" i="3"/>
  <c r="W26" i="3" l="1" a="1"/>
  <c r="W26" i="3" s="1"/>
  <c r="W27" i="3" a="1"/>
  <c r="W27" i="3" s="1"/>
  <c r="W22" i="3"/>
  <c r="C11" i="1"/>
  <c r="C7" i="2"/>
  <c r="C5" i="2"/>
  <c r="C6" i="2"/>
  <c r="C4" i="2"/>
  <c r="C3" i="2"/>
  <c r="W32" i="3" l="1"/>
  <c r="W29" i="3" a="1"/>
  <c r="W29" i="3" s="1"/>
  <c r="W28" i="3" a="1"/>
  <c r="W28" i="3" s="1"/>
  <c r="D15" i="1"/>
  <c r="F15" i="1"/>
  <c r="F16" i="1"/>
  <c r="F11" i="1"/>
  <c r="G5" i="1"/>
  <c r="G6" i="1"/>
  <c r="G7" i="1"/>
  <c r="G8" i="1"/>
  <c r="G4" i="1"/>
  <c r="F5" i="1"/>
  <c r="F6" i="1"/>
  <c r="F7" i="1"/>
  <c r="F8" i="1"/>
  <c r="E6" i="1"/>
  <c r="E7" i="1"/>
  <c r="E8" i="1"/>
  <c r="E5" i="1"/>
  <c r="E4" i="1"/>
  <c r="F4" i="1"/>
  <c r="F10" i="1"/>
  <c r="W33" i="3" l="1"/>
  <c r="W34" i="3" s="1"/>
  <c r="B37" i="3" s="1"/>
  <c r="H8" i="1"/>
  <c r="H7" i="1"/>
  <c r="H6" i="1"/>
  <c r="H5" i="1"/>
  <c r="E16" i="1"/>
  <c r="H4" i="1"/>
  <c r="E9" i="1"/>
  <c r="C16" i="1"/>
  <c r="C9" i="1"/>
  <c r="F3" i="1"/>
  <c r="D3" i="1"/>
  <c r="H4" i="2"/>
  <c r="D16" i="1" s="1"/>
  <c r="B18" i="3" l="1"/>
  <c r="A42" i="3" s="1"/>
  <c r="B9" i="2"/>
  <c r="B8" i="2"/>
  <c r="D10" i="2"/>
  <c r="D9" i="2"/>
  <c r="D8" i="2"/>
  <c r="B9" i="1"/>
  <c r="C12" i="1"/>
  <c r="F12" i="1" s="1"/>
  <c r="B10" i="2"/>
  <c r="F9" i="1"/>
  <c r="H3" i="1"/>
  <c r="H9" i="1" s="1"/>
  <c r="C15" i="1"/>
  <c r="D9" i="1"/>
  <c r="C9" i="2" l="1"/>
  <c r="C18" i="3"/>
  <c r="D18" i="3" s="1"/>
  <c r="C44" i="3" s="1"/>
  <c r="C8" i="2"/>
  <c r="C10" i="2"/>
  <c r="G9" i="1"/>
  <c r="B27" i="3" a="1"/>
  <c r="B27" i="3" s="1"/>
  <c r="I22" i="3"/>
  <c r="P22" i="3"/>
  <c r="B43" i="3" l="1"/>
  <c r="B44" i="3" s="1"/>
  <c r="B22" i="3"/>
  <c r="I26" i="3" a="1"/>
  <c r="I26" i="3" s="1"/>
  <c r="P28" i="3" a="1"/>
  <c r="P28" i="3" s="1"/>
  <c r="P29" i="3" a="1"/>
  <c r="P29" i="3" s="1"/>
  <c r="I29" i="3" a="1"/>
  <c r="I29" i="3" s="1"/>
  <c r="I28" i="3" a="1"/>
  <c r="I28" i="3" s="1"/>
  <c r="B28" i="3" a="1"/>
  <c r="B28" i="3" s="1"/>
  <c r="B29" i="3" a="1"/>
  <c r="B29" i="3" s="1"/>
  <c r="P27" i="3" a="1"/>
  <c r="P27" i="3" s="1"/>
  <c r="P26" i="3" a="1"/>
  <c r="P26" i="3" s="1"/>
  <c r="B26" i="3" a="1"/>
  <c r="B26" i="3" s="1"/>
  <c r="B32" i="3" s="1"/>
  <c r="I27" i="3" a="1"/>
  <c r="I27" i="3" s="1"/>
  <c r="I33" i="3" l="1"/>
  <c r="P32" i="3"/>
  <c r="B33" i="3"/>
  <c r="B34" i="3" s="1"/>
  <c r="B40" i="3" s="1"/>
  <c r="I32" i="3"/>
  <c r="P33" i="3"/>
  <c r="I34" i="3" l="1"/>
  <c r="B39" i="3" s="1"/>
  <c r="P34" i="3"/>
  <c r="B38" i="3" s="1"/>
  <c r="B45" i="3" a="1"/>
  <c r="B45" i="3" s="1"/>
  <c r="B50" i="3" s="1"/>
  <c r="C50" i="3" s="1"/>
  <c r="D50" i="3" s="1"/>
  <c r="C25" i="1" s="1"/>
  <c r="E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<sst xmlns="http://schemas.openxmlformats.org/spreadsheetml/2006/main" count="131" uniqueCount="92">
  <si>
    <t>Arm</t>
  </si>
  <si>
    <t>Moment</t>
  </si>
  <si>
    <t>Min.Fwd</t>
  </si>
  <si>
    <t>Max Fwd</t>
  </si>
  <si>
    <t>Max Rear</t>
  </si>
  <si>
    <t>Min Rear</t>
  </si>
  <si>
    <t>Aircraft Empty Weight</t>
  </si>
  <si>
    <t>Actual TakeOff</t>
  </si>
  <si>
    <t>Take Off</t>
  </si>
  <si>
    <t>Fuel</t>
  </si>
  <si>
    <t>Liters</t>
  </si>
  <si>
    <t>Mass</t>
  </si>
  <si>
    <t>Aircraft Weight &amp; Balance Data</t>
  </si>
  <si>
    <t>Factors</t>
  </si>
  <si>
    <t>kg_lbs</t>
  </si>
  <si>
    <t>m_inch</t>
  </si>
  <si>
    <t>lbs_gal</t>
  </si>
  <si>
    <t>liter_gal</t>
  </si>
  <si>
    <t>kg_gal</t>
  </si>
  <si>
    <t>Adjust with mouse</t>
  </si>
  <si>
    <t>liter_kg</t>
  </si>
  <si>
    <t>lbs</t>
  </si>
  <si>
    <t>in</t>
  </si>
  <si>
    <t>Min. Fwd</t>
  </si>
  <si>
    <t>GAL</t>
  </si>
  <si>
    <t>kg</t>
  </si>
  <si>
    <t>Zero Fuel Weight  lbs</t>
  </si>
  <si>
    <t>lbs. In</t>
  </si>
  <si>
    <t>m</t>
  </si>
  <si>
    <t>m kg</t>
  </si>
  <si>
    <t>HB-OEN</t>
  </si>
  <si>
    <t>Piper Cup L4/J3</t>
  </si>
  <si>
    <t>Fuel Main Tank</t>
  </si>
  <si>
    <t>Fuel Wing Tank</t>
  </si>
  <si>
    <t>Front Seat</t>
  </si>
  <si>
    <t>Rear Seats</t>
  </si>
  <si>
    <t>or fill in numbers in kg</t>
  </si>
  <si>
    <t xml:space="preserve">  AFM 15.09.2019</t>
  </si>
  <si>
    <t>Weight kg</t>
  </si>
  <si>
    <t>m/kg</t>
  </si>
  <si>
    <t>Arm m</t>
  </si>
  <si>
    <t>Baggage Area</t>
  </si>
  <si>
    <t>Consult current AFM for binding data</t>
  </si>
  <si>
    <t>Actual fuel</t>
  </si>
  <si>
    <t>Max. usable fuel</t>
  </si>
  <si>
    <t>C.G. must be inside envelope</t>
  </si>
  <si>
    <t>MAXIMUM TAKE OFF WEIGHT</t>
  </si>
  <si>
    <t>Additional load to MTOW</t>
  </si>
  <si>
    <t>Input</t>
  </si>
  <si>
    <t>Field elevation</t>
  </si>
  <si>
    <t>QNH</t>
  </si>
  <si>
    <t>OAT</t>
  </si>
  <si>
    <t>Wind</t>
  </si>
  <si>
    <t>Distance factor</t>
  </si>
  <si>
    <t>Takeoff Mass</t>
  </si>
  <si>
    <t>Intermediate</t>
  </si>
  <si>
    <t>Interpolation</t>
  </si>
  <si>
    <t>Forecast Gnd Roll</t>
  </si>
  <si>
    <t>MOTM low index</t>
  </si>
  <si>
    <t>MTOM high index</t>
  </si>
  <si>
    <t>Wind Correction</t>
  </si>
  <si>
    <t>Tailwind increment</t>
  </si>
  <si>
    <t>Headwind decrement</t>
  </si>
  <si>
    <t>Short Field Performance</t>
  </si>
  <si>
    <t>For situational awarness only. Not officially approved. Use at your own risk.
Do not use on tablets. Only the desktop version of Excel is working properly.</t>
  </si>
  <si>
    <t>Takeoff distance 550 kg</t>
  </si>
  <si>
    <t>Takeoff distance 500 kg</t>
  </si>
  <si>
    <t>Takeoff distance 475 kg</t>
  </si>
  <si>
    <t>Takeoff distance 450 kg</t>
  </si>
  <si>
    <t>TOD m</t>
  </si>
  <si>
    <t>Wind low index</t>
  </si>
  <si>
    <t>Wind high index</t>
  </si>
  <si>
    <t>Forecast T/O distance</t>
  </si>
  <si>
    <t>T/O Distance by MTOM</t>
  </si>
  <si>
    <t>Factor Meanings</t>
  </si>
  <si>
    <t>Concrete</t>
  </si>
  <si>
    <t>Grass</t>
  </si>
  <si>
    <t>Long Gras</t>
  </si>
  <si>
    <t>Soft Field</t>
  </si>
  <si>
    <t>Altitude m</t>
  </si>
  <si>
    <t>Dist low alt/low wind</t>
  </si>
  <si>
    <t>Dist low alt/high wind</t>
  </si>
  <si>
    <t>Dist high alt/low wind</t>
  </si>
  <si>
    <t>Dist high alt/high wind</t>
  </si>
  <si>
    <t>Forecast dist low alt</t>
  </si>
  <si>
    <t>Forecast dist high alt</t>
  </si>
  <si>
    <t>Alt low index</t>
  </si>
  <si>
    <t>Alt high index</t>
  </si>
  <si>
    <t>Actual 0 Fuel</t>
  </si>
  <si>
    <t>Actual Main Fuel</t>
  </si>
  <si>
    <t>Distance to 15m/50ft height</t>
  </si>
  <si>
    <t>Rev. 03.09.2022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</si>
</sst>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164" formatCode="0.0"/>
    <numFmt numFmtId="165" formatCode="0.0000"/>
    <numFmt numFmtId="166" formatCode="0.000"/>
    <numFmt numFmtId="167" formatCode="#,##0.000"/>
    <numFmt numFmtId="168" formatCode="#,##0_ ;[Red]\-#,##0\ "/>
    <numFmt numFmtId="169" formatCode="0\ &quot;℃&quot;"/>
    <numFmt numFmtId="170" formatCode="0\ &quot;ft&quot;"/>
    <numFmt numFmtId="171" formatCode="#,##0.00\ &quot;hPa&quot;"/>
    <numFmt numFmtId="172" formatCode="0\ &quot;kts&quot;"/>
    <numFmt numFmtId="173" formatCode="0\ &quot;lbs&quot;"/>
    <numFmt numFmtId="174" formatCode="0\ &quot;m&quot;"/>
    <numFmt numFmtId="175" formatCode="#,##0\ &quot;hPa&quot;"/>
    <numFmt numFmtId="176" formatCode="0\ &quot;hPa&quot;"/>
    <numFmt numFmtId="177" formatCode="&quot;(&quot;\ 0\ &quot;ft)&quot;"/>
    <numFmt numFmtId="178" formatCode="&quot;(&quot;\ 0\ &quot;m)&quot;"/>
    <numFmt numFmtId="179" formatCode="0\ &quot;kg&quot;"/>
    <numFmt numFmtId="180" formatCode="0.00\ &quot;m&quot;"/>
    <numFmt numFmtId="181" formatCode="&quot;(&quot;@&quot;)&quot;"/>
    <numFmt numFmtId="182" formatCode="&quot;ΔFE&quot;\ 0\ &quot;m&quot;"/>
    <numFmt numFmtId="183" formatCode="#,##0.00\ &quot; m&quot;"/>
    <numFmt numFmtId="184" formatCode="0.00\ &quot;℃&quot;"/>
    <numFmt numFmtId="185" formatCode="&quot;ISA&quot;\ 0.00\ &quot;℃&quot;"/>
  </numFmts>
  <fonts count="29" x14ac:knownFonts="1">
    <font>
      <sz val="10"/>
      <name val="Arial"/>
    </font>
    <font>
      <sz val="12"/>
      <color theme="1"/>
      <name val="Calibri"/>
      <family val="2"/>
      <scheme val="minor"/>
    </font>
    <font>
      <sz val="10"/>
      <color indexed="53"/>
      <name val="Arial"/>
      <family val="2"/>
    </font>
    <font>
      <b/>
      <sz val="10"/>
      <color indexed="53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2"/>
      <color rgb="FFFF00FF"/>
      <name val="Arial"/>
      <family val="2"/>
    </font>
    <font>
      <sz val="12"/>
      <color indexed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0"/>
      <color rgb="FFFF00FF"/>
      <name val="Arial"/>
      <family val="2"/>
    </font>
    <font>
      <sz val="10"/>
      <color rgb="FFFF00FF"/>
      <name val="Arial"/>
      <family val="2"/>
    </font>
    <font>
      <sz val="10"/>
      <color indexed="8"/>
      <name val="Arial"/>
      <family val="2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sz val="12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4506668294322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ed">
        <color rgb="FF00B050"/>
      </left>
      <right style="mediumDashed">
        <color rgb="FF00B050"/>
      </right>
      <top style="mediumDashed">
        <color rgb="FF00B050"/>
      </top>
      <bottom style="thin">
        <color indexed="64"/>
      </bottom>
      <diagonal/>
    </border>
    <border>
      <left style="mediumDashed">
        <color rgb="FF00B050"/>
      </left>
      <right style="mediumDashed">
        <color rgb="FF00B05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Dashed">
        <color rgb="FF00B050"/>
      </left>
      <right style="mediumDashed">
        <color rgb="FF00B050"/>
      </right>
      <top style="thin">
        <color indexed="64"/>
      </top>
      <bottom style="mediumDashed">
        <color rgb="FF00B05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Dashed">
        <color rgb="FF06B050"/>
      </left>
      <right style="mediumDashed">
        <color rgb="FF06B050"/>
      </right>
      <top style="mediumDashed">
        <color rgb="FF06B050"/>
      </top>
      <bottom/>
      <diagonal/>
    </border>
    <border>
      <left style="mediumDashed">
        <color rgb="FF06B050"/>
      </left>
      <right style="mediumDashed">
        <color rgb="FF06B050"/>
      </right>
      <top/>
      <bottom/>
      <diagonal/>
    </border>
    <border>
      <left style="mediumDashed">
        <color rgb="FF06B050"/>
      </left>
      <right style="mediumDashed">
        <color rgb="FF06B050"/>
      </right>
      <top/>
      <bottom style="mediumDashed">
        <color rgb="FF06B050"/>
      </bottom>
      <diagonal/>
    </border>
    <border>
      <left/>
      <right/>
      <top style="mediumDashed">
        <color rgb="FF06B050"/>
      </top>
      <bottom/>
      <diagonal/>
    </border>
  </borders>
  <cellStyleXfs count="2">
    <xf numFmtId="0" fontId="0" fillId="0" borderId="0"/>
    <xf numFmtId="0" fontId="1" fillId="0" borderId="0"/>
  </cellStyleXfs>
  <cellXfs count="215">
    <xf numFmtId="0" fontId="0" fillId="0" borderId="0" xfId="0"/>
    <xf numFmtId="0" fontId="4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164" fontId="0" fillId="3" borderId="4" xfId="0" applyNumberFormat="1" applyFill="1" applyBorder="1"/>
    <xf numFmtId="164" fontId="2" fillId="3" borderId="4" xfId="0" applyNumberFormat="1" applyFont="1" applyFill="1" applyBorder="1"/>
    <xf numFmtId="0" fontId="0" fillId="3" borderId="1" xfId="0" applyFill="1" applyBorder="1"/>
    <xf numFmtId="0" fontId="0" fillId="3" borderId="5" xfId="0" applyFill="1" applyBorder="1" applyAlignment="1">
      <alignment horizontal="right"/>
    </xf>
    <xf numFmtId="0" fontId="0" fillId="3" borderId="6" xfId="0" applyFill="1" applyBorder="1" applyAlignment="1">
      <alignment horizontal="right"/>
    </xf>
    <xf numFmtId="164" fontId="3" fillId="3" borderId="7" xfId="0" applyNumberFormat="1" applyFont="1" applyFill="1" applyBorder="1"/>
    <xf numFmtId="165" fontId="0" fillId="2" borderId="6" xfId="0" applyNumberFormat="1" applyFill="1" applyBorder="1"/>
    <xf numFmtId="165" fontId="0" fillId="2" borderId="10" xfId="0" applyNumberFormat="1" applyFill="1" applyBorder="1"/>
    <xf numFmtId="165" fontId="0" fillId="2" borderId="11" xfId="0" applyNumberFormat="1" applyFill="1" applyBorder="1"/>
    <xf numFmtId="165" fontId="0" fillId="0" borderId="0" xfId="0" applyNumberFormat="1"/>
    <xf numFmtId="166" fontId="0" fillId="3" borderId="10" xfId="0" applyNumberFormat="1" applyFill="1" applyBorder="1"/>
    <xf numFmtId="166" fontId="0" fillId="3" borderId="11" xfId="0" applyNumberFormat="1" applyFill="1" applyBorder="1"/>
    <xf numFmtId="0" fontId="6" fillId="0" borderId="0" xfId="0" applyFont="1"/>
    <xf numFmtId="164" fontId="2" fillId="3" borderId="29" xfId="0" applyNumberFormat="1" applyFont="1" applyFill="1" applyBorder="1"/>
    <xf numFmtId="0" fontId="0" fillId="2" borderId="0" xfId="0" applyFill="1"/>
    <xf numFmtId="165" fontId="0" fillId="2" borderId="0" xfId="0" applyNumberFormat="1" applyFill="1"/>
    <xf numFmtId="0" fontId="0" fillId="3" borderId="2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3" fontId="6" fillId="13" borderId="31" xfId="0" applyNumberFormat="1" applyFont="1" applyFill="1" applyBorder="1" applyAlignment="1" applyProtection="1">
      <alignment horizontal="right" vertical="center"/>
      <protection locked="0"/>
    </xf>
    <xf numFmtId="3" fontId="6" fillId="13" borderId="32" xfId="0" applyNumberFormat="1" applyFont="1" applyFill="1" applyBorder="1" applyAlignment="1" applyProtection="1">
      <alignment horizontal="right" vertical="center"/>
      <protection locked="0"/>
    </xf>
    <xf numFmtId="0" fontId="13" fillId="13" borderId="40" xfId="0" applyFont="1" applyFill="1" applyBorder="1" applyAlignment="1">
      <alignment horizontal="center"/>
    </xf>
    <xf numFmtId="0" fontId="13" fillId="13" borderId="42" xfId="0" applyFont="1" applyFill="1" applyBorder="1" applyAlignment="1">
      <alignment horizontal="center"/>
    </xf>
    <xf numFmtId="164" fontId="13" fillId="11" borderId="50" xfId="0" applyNumberFormat="1" applyFont="1" applyFill="1" applyBorder="1" applyAlignment="1">
      <alignment horizontal="center" vertical="center"/>
    </xf>
    <xf numFmtId="0" fontId="13" fillId="11" borderId="40" xfId="0" applyFont="1" applyFill="1" applyBorder="1" applyAlignment="1">
      <alignment horizontal="center" vertical="center"/>
    </xf>
    <xf numFmtId="164" fontId="13" fillId="11" borderId="12" xfId="0" applyNumberFormat="1" applyFont="1" applyFill="1" applyBorder="1" applyAlignment="1">
      <alignment horizontal="center" vertical="center"/>
    </xf>
    <xf numFmtId="0" fontId="9" fillId="0" borderId="9" xfId="0" applyFont="1" applyBorder="1"/>
    <xf numFmtId="0" fontId="9" fillId="0" borderId="12" xfId="0" applyFont="1" applyBorder="1"/>
    <xf numFmtId="0" fontId="9" fillId="0" borderId="8" xfId="0" applyFont="1" applyBorder="1"/>
    <xf numFmtId="0" fontId="9" fillId="0" borderId="0" xfId="0" applyFont="1"/>
    <xf numFmtId="0" fontId="13" fillId="13" borderId="37" xfId="0" applyFont="1" applyFill="1" applyBorder="1" applyAlignment="1">
      <alignment horizontal="center"/>
    </xf>
    <xf numFmtId="0" fontId="13" fillId="13" borderId="43" xfId="0" applyFont="1" applyFill="1" applyBorder="1" applyAlignment="1">
      <alignment horizontal="center"/>
    </xf>
    <xf numFmtId="164" fontId="13" fillId="11" borderId="51" xfId="0" applyNumberFormat="1" applyFont="1" applyFill="1" applyBorder="1" applyAlignment="1">
      <alignment horizontal="center" vertical="center"/>
    </xf>
    <xf numFmtId="166" fontId="13" fillId="11" borderId="37" xfId="0" applyNumberFormat="1" applyFont="1" applyFill="1" applyBorder="1" applyAlignment="1">
      <alignment horizontal="center" vertical="center"/>
    </xf>
    <xf numFmtId="164" fontId="13" fillId="11" borderId="13" xfId="0" applyNumberFormat="1" applyFont="1" applyFill="1" applyBorder="1" applyAlignment="1">
      <alignment horizontal="center" vertical="center"/>
    </xf>
    <xf numFmtId="0" fontId="9" fillId="0" borderId="13" xfId="0" applyFont="1" applyBorder="1"/>
    <xf numFmtId="0" fontId="13" fillId="0" borderId="1" xfId="0" applyFont="1" applyBorder="1" applyAlignment="1">
      <alignment vertical="center"/>
    </xf>
    <xf numFmtId="0" fontId="13" fillId="0" borderId="23" xfId="0" applyFont="1" applyBorder="1" applyAlignment="1">
      <alignment vertical="center"/>
    </xf>
    <xf numFmtId="3" fontId="6" fillId="13" borderId="36" xfId="0" applyNumberFormat="1" applyFont="1" applyFill="1" applyBorder="1" applyAlignment="1">
      <alignment horizontal="right" vertical="center"/>
    </xf>
    <xf numFmtId="4" fontId="6" fillId="13" borderId="30" xfId="0" applyNumberFormat="1" applyFont="1" applyFill="1" applyBorder="1" applyAlignment="1">
      <alignment horizontal="center" vertical="center"/>
    </xf>
    <xf numFmtId="4" fontId="6" fillId="13" borderId="39" xfId="0" applyNumberFormat="1" applyFont="1" applyFill="1" applyBorder="1" applyAlignment="1">
      <alignment horizontal="right" vertical="center"/>
    </xf>
    <xf numFmtId="2" fontId="6" fillId="11" borderId="21" xfId="0" applyNumberFormat="1" applyFont="1" applyFill="1" applyBorder="1" applyAlignment="1">
      <alignment horizontal="right" vertical="center"/>
    </xf>
    <xf numFmtId="167" fontId="6" fillId="11" borderId="5" xfId="0" applyNumberFormat="1" applyFont="1" applyFill="1" applyBorder="1" applyAlignment="1">
      <alignment horizontal="center" vertical="center"/>
    </xf>
    <xf numFmtId="3" fontId="6" fillId="11" borderId="6" xfId="0" applyNumberFormat="1" applyFont="1" applyFill="1" applyBorder="1" applyAlignment="1">
      <alignment horizontal="right" vertical="center"/>
    </xf>
    <xf numFmtId="0" fontId="13" fillId="0" borderId="2" xfId="0" applyFont="1" applyBorder="1" applyAlignment="1">
      <alignment vertical="center"/>
    </xf>
    <xf numFmtId="0" fontId="6" fillId="5" borderId="24" xfId="0" applyFont="1" applyFill="1" applyBorder="1" applyAlignment="1">
      <alignment vertical="center"/>
    </xf>
    <xf numFmtId="4" fontId="6" fillId="13" borderId="18" xfId="0" quotePrefix="1" applyNumberFormat="1" applyFont="1" applyFill="1" applyBorder="1" applyAlignment="1">
      <alignment horizontal="center" vertical="center"/>
    </xf>
    <xf numFmtId="4" fontId="6" fillId="13" borderId="10" xfId="0" applyNumberFormat="1" applyFont="1" applyFill="1" applyBorder="1" applyAlignment="1">
      <alignment horizontal="right" vertical="center"/>
    </xf>
    <xf numFmtId="2" fontId="6" fillId="11" borderId="18" xfId="0" applyNumberFormat="1" applyFont="1" applyFill="1" applyBorder="1" applyAlignment="1">
      <alignment horizontal="right" vertical="center"/>
    </xf>
    <xf numFmtId="4" fontId="6" fillId="11" borderId="4" xfId="0" applyNumberFormat="1" applyFont="1" applyFill="1" applyBorder="1" applyAlignment="1">
      <alignment horizontal="center" vertical="center"/>
    </xf>
    <xf numFmtId="3" fontId="6" fillId="11" borderId="10" xfId="0" applyNumberFormat="1" applyFont="1" applyFill="1" applyBorder="1" applyAlignment="1">
      <alignment horizontal="right" vertical="center"/>
    </xf>
    <xf numFmtId="4" fontId="6" fillId="13" borderId="18" xfId="0" applyNumberFormat="1" applyFont="1" applyFill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12" fillId="0" borderId="0" xfId="0" applyFont="1" applyAlignment="1">
      <alignment vertical="center"/>
    </xf>
    <xf numFmtId="3" fontId="13" fillId="13" borderId="36" xfId="0" applyNumberFormat="1" applyFont="1" applyFill="1" applyBorder="1" applyAlignment="1">
      <alignment horizontal="right" vertical="center"/>
    </xf>
    <xf numFmtId="4" fontId="13" fillId="13" borderId="29" xfId="0" applyNumberFormat="1" applyFont="1" applyFill="1" applyBorder="1" applyAlignment="1">
      <alignment horizontal="center" vertical="center"/>
    </xf>
    <xf numFmtId="4" fontId="13" fillId="13" borderId="22" xfId="0" applyNumberFormat="1" applyFont="1" applyFill="1" applyBorder="1" applyAlignment="1">
      <alignment horizontal="right" vertical="center"/>
    </xf>
    <xf numFmtId="2" fontId="13" fillId="11" borderId="44" xfId="0" applyNumberFormat="1" applyFont="1" applyFill="1" applyBorder="1" applyAlignment="1">
      <alignment horizontal="right" vertical="center"/>
    </xf>
    <xf numFmtId="4" fontId="13" fillId="11" borderId="29" xfId="0" applyNumberFormat="1" applyFont="1" applyFill="1" applyBorder="1" applyAlignment="1">
      <alignment horizontal="center" vertical="center"/>
    </xf>
    <xf numFmtId="3" fontId="13" fillId="11" borderId="22" xfId="0" applyNumberFormat="1" applyFont="1" applyFill="1" applyBorder="1" applyAlignment="1">
      <alignment horizontal="right" vertical="center"/>
    </xf>
    <xf numFmtId="0" fontId="10" fillId="0" borderId="19" xfId="0" applyFont="1" applyBorder="1" applyAlignment="1">
      <alignment vertical="center"/>
    </xf>
    <xf numFmtId="0" fontId="14" fillId="0" borderId="19" xfId="0" applyFont="1" applyBorder="1" applyAlignment="1">
      <alignment horizontal="right" vertical="center"/>
    </xf>
    <xf numFmtId="3" fontId="15" fillId="12" borderId="45" xfId="0" applyNumberFormat="1" applyFont="1" applyFill="1" applyBorder="1" applyAlignment="1">
      <alignment horizontal="right" vertical="center"/>
    </xf>
    <xf numFmtId="3" fontId="15" fillId="12" borderId="41" xfId="0" applyNumberFormat="1" applyFont="1" applyFill="1" applyBorder="1" applyAlignment="1">
      <alignment horizontal="center" vertical="center"/>
    </xf>
    <xf numFmtId="4" fontId="15" fillId="0" borderId="12" xfId="0" applyNumberFormat="1" applyFont="1" applyBorder="1" applyAlignment="1">
      <alignment horizontal="center" vertical="center"/>
    </xf>
    <xf numFmtId="3" fontId="15" fillId="12" borderId="46" xfId="0" applyNumberFormat="1" applyFont="1" applyFill="1" applyBorder="1" applyAlignment="1">
      <alignment horizontal="right" vertical="center"/>
    </xf>
    <xf numFmtId="0" fontId="15" fillId="12" borderId="34" xfId="0" applyFont="1" applyFill="1" applyBorder="1" applyAlignment="1">
      <alignment horizontal="center" vertical="center"/>
    </xf>
    <xf numFmtId="3" fontId="15" fillId="0" borderId="20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vertical="center"/>
    </xf>
    <xf numFmtId="3" fontId="6" fillId="13" borderId="30" xfId="0" applyNumberFormat="1" applyFont="1" applyFill="1" applyBorder="1" applyAlignment="1">
      <alignment horizontal="right" vertical="center"/>
    </xf>
    <xf numFmtId="4" fontId="6" fillId="13" borderId="39" xfId="0" applyNumberFormat="1" applyFont="1" applyFill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3" fontId="6" fillId="11" borderId="49" xfId="0" applyNumberFormat="1" applyFont="1" applyFill="1" applyBorder="1" applyAlignment="1">
      <alignment horizontal="right" vertical="center"/>
    </xf>
    <xf numFmtId="3" fontId="6" fillId="11" borderId="47" xfId="0" applyNumberFormat="1" applyFont="1" applyFill="1" applyBorder="1" applyAlignment="1">
      <alignment horizontal="center" vertical="center"/>
    </xf>
    <xf numFmtId="3" fontId="16" fillId="0" borderId="8" xfId="0" applyNumberFormat="1" applyFont="1" applyBorder="1" applyAlignment="1">
      <alignment horizontal="right" vertical="center"/>
    </xf>
    <xf numFmtId="0" fontId="6" fillId="0" borderId="25" xfId="0" applyFont="1" applyBorder="1" applyAlignment="1">
      <alignment vertical="center"/>
    </xf>
    <xf numFmtId="168" fontId="6" fillId="13" borderId="7" xfId="0" applyNumberFormat="1" applyFont="1" applyFill="1" applyBorder="1" applyAlignment="1">
      <alignment horizontal="right" vertical="center"/>
    </xf>
    <xf numFmtId="4" fontId="6" fillId="13" borderId="11" xfId="0" applyNumberFormat="1" applyFont="1" applyFill="1" applyBorder="1" applyAlignment="1">
      <alignment horizontal="center" vertical="center"/>
    </xf>
    <xf numFmtId="168" fontId="6" fillId="11" borderId="3" xfId="0" applyNumberFormat="1" applyFont="1" applyFill="1" applyBorder="1" applyAlignment="1">
      <alignment horizontal="right" vertical="center"/>
    </xf>
    <xf numFmtId="3" fontId="6" fillId="11" borderId="48" xfId="0" applyNumberFormat="1" applyFont="1" applyFill="1" applyBorder="1" applyAlignment="1">
      <alignment horizontal="center" vertical="center"/>
    </xf>
    <xf numFmtId="3" fontId="6" fillId="0" borderId="8" xfId="0" applyNumberFormat="1" applyFont="1" applyBorder="1" applyAlignment="1">
      <alignment horizontal="right" vertical="center"/>
    </xf>
    <xf numFmtId="0" fontId="13" fillId="5" borderId="8" xfId="0" applyFont="1" applyFill="1" applyBorder="1" applyAlignment="1">
      <alignment vertical="center"/>
    </xf>
    <xf numFmtId="0" fontId="6" fillId="0" borderId="17" xfId="0" applyFont="1" applyBorder="1" applyAlignment="1">
      <alignment vertical="top" wrapText="1"/>
    </xf>
    <xf numFmtId="164" fontId="11" fillId="0" borderId="0" xfId="0" applyNumberFormat="1" applyFont="1"/>
    <xf numFmtId="0" fontId="6" fillId="0" borderId="19" xfId="0" applyFont="1" applyBorder="1"/>
    <xf numFmtId="0" fontId="12" fillId="0" borderId="34" xfId="0" applyFont="1" applyBorder="1"/>
    <xf numFmtId="164" fontId="9" fillId="0" borderId="0" xfId="0" applyNumberFormat="1" applyFont="1"/>
    <xf numFmtId="0" fontId="11" fillId="0" borderId="0" xfId="0" applyFont="1"/>
    <xf numFmtId="0" fontId="9" fillId="0" borderId="0" xfId="0" applyFont="1" applyAlignment="1">
      <alignment horizontal="right"/>
    </xf>
    <xf numFmtId="3" fontId="6" fillId="13" borderId="52" xfId="0" applyNumberFormat="1" applyFont="1" applyFill="1" applyBorder="1" applyAlignment="1" applyProtection="1">
      <alignment horizontal="right" vertical="center"/>
      <protection locked="0"/>
    </xf>
    <xf numFmtId="0" fontId="6" fillId="0" borderId="8" xfId="0" applyFont="1" applyBorder="1" applyAlignment="1">
      <alignment vertical="center"/>
    </xf>
    <xf numFmtId="0" fontId="6" fillId="0" borderId="13" xfId="0" applyFont="1" applyBorder="1"/>
    <xf numFmtId="0" fontId="6" fillId="0" borderId="8" xfId="0" applyFont="1" applyBorder="1"/>
    <xf numFmtId="4" fontId="6" fillId="0" borderId="0" xfId="0" applyNumberFormat="1" applyFont="1"/>
    <xf numFmtId="0" fontId="13" fillId="6" borderId="1" xfId="0" applyFont="1" applyFill="1" applyBorder="1"/>
    <xf numFmtId="4" fontId="6" fillId="6" borderId="5" xfId="0" applyNumberFormat="1" applyFont="1" applyFill="1" applyBorder="1" applyAlignment="1">
      <alignment horizontal="center"/>
    </xf>
    <xf numFmtId="4" fontId="6" fillId="6" borderId="26" xfId="0" applyNumberFormat="1" applyFont="1" applyFill="1" applyBorder="1" applyAlignment="1">
      <alignment horizontal="center"/>
    </xf>
    <xf numFmtId="4" fontId="6" fillId="6" borderId="6" xfId="0" applyNumberFormat="1" applyFont="1" applyFill="1" applyBorder="1" applyAlignment="1">
      <alignment horizontal="center"/>
    </xf>
    <xf numFmtId="0" fontId="6" fillId="6" borderId="2" xfId="0" applyFont="1" applyFill="1" applyBorder="1"/>
    <xf numFmtId="3" fontId="6" fillId="6" borderId="4" xfId="0" applyNumberFormat="1" applyFont="1" applyFill="1" applyBorder="1" applyAlignment="1">
      <alignment horizontal="center"/>
    </xf>
    <xf numFmtId="3" fontId="13" fillId="6" borderId="4" xfId="0" applyNumberFormat="1" applyFont="1" applyFill="1" applyBorder="1" applyAlignment="1">
      <alignment horizontal="center"/>
    </xf>
    <xf numFmtId="3" fontId="6" fillId="9" borderId="27" xfId="0" applyNumberFormat="1" applyFont="1" applyFill="1" applyBorder="1" applyAlignment="1">
      <alignment horizontal="center"/>
    </xf>
    <xf numFmtId="1" fontId="6" fillId="9" borderId="22" xfId="0" applyNumberFormat="1" applyFont="1" applyFill="1" applyBorder="1" applyAlignment="1">
      <alignment horizontal="center"/>
    </xf>
    <xf numFmtId="0" fontId="6" fillId="7" borderId="3" xfId="0" applyFont="1" applyFill="1" applyBorder="1"/>
    <xf numFmtId="3" fontId="16" fillId="7" borderId="7" xfId="0" applyNumberFormat="1" applyFont="1" applyFill="1" applyBorder="1" applyAlignment="1">
      <alignment horizontal="center"/>
    </xf>
    <xf numFmtId="3" fontId="16" fillId="7" borderId="7" xfId="0" applyNumberFormat="1" applyFont="1" applyFill="1" applyBorder="1" applyAlignment="1">
      <alignment horizontal="center" vertical="center"/>
    </xf>
    <xf numFmtId="3" fontId="20" fillId="7" borderId="28" xfId="0" applyNumberFormat="1" applyFont="1" applyFill="1" applyBorder="1" applyAlignment="1">
      <alignment horizontal="center" vertical="center"/>
    </xf>
    <xf numFmtId="3" fontId="6" fillId="10" borderId="11" xfId="0" applyNumberFormat="1" applyFont="1" applyFill="1" applyBorder="1" applyAlignment="1">
      <alignment horizontal="center" vertical="center"/>
    </xf>
    <xf numFmtId="0" fontId="16" fillId="0" borderId="8" xfId="0" applyFont="1" applyBorder="1"/>
    <xf numFmtId="164" fontId="6" fillId="0" borderId="0" xfId="0" applyNumberFormat="1" applyFont="1"/>
    <xf numFmtId="164" fontId="16" fillId="0" borderId="0" xfId="0" applyNumberFormat="1" applyFont="1"/>
    <xf numFmtId="0" fontId="13" fillId="4" borderId="8" xfId="0" applyFont="1" applyFill="1" applyBorder="1" applyAlignment="1">
      <alignment vertical="top" wrapText="1"/>
    </xf>
    <xf numFmtId="0" fontId="1" fillId="0" borderId="0" xfId="1"/>
    <xf numFmtId="0" fontId="23" fillId="0" borderId="0" xfId="1" applyFont="1"/>
    <xf numFmtId="0" fontId="1" fillId="0" borderId="20" xfId="1" applyBorder="1"/>
    <xf numFmtId="0" fontId="23" fillId="0" borderId="20" xfId="1" applyFont="1" applyBorder="1"/>
    <xf numFmtId="0" fontId="1" fillId="0" borderId="25" xfId="1" applyBorder="1"/>
    <xf numFmtId="0" fontId="1" fillId="0" borderId="3" xfId="1" applyBorder="1"/>
    <xf numFmtId="0" fontId="1" fillId="0" borderId="53" xfId="1" applyBorder="1"/>
    <xf numFmtId="1" fontId="1" fillId="0" borderId="38" xfId="1" applyNumberFormat="1" applyBorder="1"/>
    <xf numFmtId="1" fontId="1" fillId="0" borderId="49" xfId="1" applyNumberFormat="1" applyBorder="1"/>
    <xf numFmtId="1" fontId="1" fillId="0" borderId="56" xfId="1" applyNumberFormat="1" applyBorder="1"/>
    <xf numFmtId="1" fontId="23" fillId="0" borderId="49" xfId="1" applyNumberFormat="1" applyFont="1" applyBorder="1"/>
    <xf numFmtId="1" fontId="23" fillId="0" borderId="56" xfId="1" applyNumberFormat="1" applyFont="1" applyBorder="1"/>
    <xf numFmtId="1" fontId="1" fillId="0" borderId="57" xfId="1" applyNumberFormat="1" applyBorder="1"/>
    <xf numFmtId="1" fontId="1" fillId="0" borderId="2" xfId="1" applyNumberFormat="1" applyBorder="1"/>
    <xf numFmtId="1" fontId="1" fillId="0" borderId="58" xfId="1" applyNumberFormat="1" applyBorder="1"/>
    <xf numFmtId="1" fontId="1" fillId="0" borderId="25" xfId="1" applyNumberFormat="1" applyBorder="1"/>
    <xf numFmtId="1" fontId="1" fillId="0" borderId="3" xfId="1" applyNumberFormat="1" applyBorder="1"/>
    <xf numFmtId="1" fontId="1" fillId="0" borderId="53" xfId="1" applyNumberFormat="1" applyBorder="1"/>
    <xf numFmtId="0" fontId="18" fillId="0" borderId="0" xfId="1" applyFont="1"/>
    <xf numFmtId="174" fontId="1" fillId="0" borderId="0" xfId="1" applyNumberFormat="1"/>
    <xf numFmtId="173" fontId="18" fillId="0" borderId="0" xfId="1" applyNumberFormat="1" applyFont="1"/>
    <xf numFmtId="170" fontId="18" fillId="0" borderId="0" xfId="1" applyNumberFormat="1" applyFont="1"/>
    <xf numFmtId="174" fontId="18" fillId="0" borderId="0" xfId="1" applyNumberFormat="1" applyFont="1"/>
    <xf numFmtId="3" fontId="16" fillId="0" borderId="0" xfId="0" applyNumberFormat="1" applyFont="1" applyAlignment="1">
      <alignment horizontal="center"/>
    </xf>
    <xf numFmtId="3" fontId="16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25" fillId="0" borderId="8" xfId="1" applyFont="1" applyBorder="1" applyAlignment="1">
      <alignment vertical="center"/>
    </xf>
    <xf numFmtId="170" fontId="19" fillId="0" borderId="0" xfId="1" applyNumberFormat="1" applyFont="1"/>
    <xf numFmtId="170" fontId="19" fillId="14" borderId="59" xfId="1" applyNumberFormat="1" applyFont="1" applyFill="1" applyBorder="1" applyAlignment="1" applyProtection="1">
      <alignment vertical="center"/>
      <protection locked="0"/>
    </xf>
    <xf numFmtId="175" fontId="19" fillId="0" borderId="0" xfId="1" applyNumberFormat="1" applyFont="1"/>
    <xf numFmtId="176" fontId="19" fillId="14" borderId="60" xfId="1" applyNumberFormat="1" applyFont="1" applyFill="1" applyBorder="1" applyAlignment="1" applyProtection="1">
      <alignment vertical="center"/>
      <protection locked="0"/>
    </xf>
    <xf numFmtId="177" fontId="6" fillId="0" borderId="0" xfId="0" applyNumberFormat="1" applyFont="1" applyAlignment="1">
      <alignment horizontal="left" vertical="center"/>
    </xf>
    <xf numFmtId="0" fontId="19" fillId="0" borderId="0" xfId="1" applyFont="1"/>
    <xf numFmtId="169" fontId="19" fillId="14" borderId="61" xfId="1" applyNumberFormat="1" applyFont="1" applyFill="1" applyBorder="1" applyAlignment="1" applyProtection="1">
      <alignment vertical="center"/>
      <protection locked="0"/>
    </xf>
    <xf numFmtId="172" fontId="19" fillId="0" borderId="62" xfId="1" applyNumberFormat="1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3" fontId="26" fillId="0" borderId="0" xfId="0" applyNumberFormat="1" applyFont="1" applyAlignment="1" applyProtection="1">
      <alignment horizontal="center" vertical="center" wrapText="1"/>
      <protection locked="0"/>
    </xf>
    <xf numFmtId="9" fontId="19" fillId="0" borderId="0" xfId="1" applyNumberFormat="1" applyFont="1"/>
    <xf numFmtId="0" fontId="27" fillId="0" borderId="8" xfId="1" applyFont="1" applyBorder="1"/>
    <xf numFmtId="173" fontId="17" fillId="0" borderId="0" xfId="1" applyNumberFormat="1" applyFont="1"/>
    <xf numFmtId="0" fontId="20" fillId="0" borderId="19" xfId="0" applyFont="1" applyBorder="1"/>
    <xf numFmtId="0" fontId="13" fillId="0" borderId="34" xfId="0" applyFont="1" applyBorder="1"/>
    <xf numFmtId="178" fontId="13" fillId="0" borderId="35" xfId="0" applyNumberFormat="1" applyFont="1" applyBorder="1" applyAlignment="1">
      <alignment horizontal="left"/>
    </xf>
    <xf numFmtId="172" fontId="1" fillId="0" borderId="1" xfId="1" applyNumberFormat="1" applyBorder="1" applyAlignment="1">
      <alignment horizontal="center" vertical="center"/>
    </xf>
    <xf numFmtId="172" fontId="1" fillId="0" borderId="54" xfId="1" applyNumberFormat="1" applyBorder="1" applyAlignment="1">
      <alignment horizontal="center" vertical="center"/>
    </xf>
    <xf numFmtId="1" fontId="23" fillId="0" borderId="51" xfId="1" applyNumberFormat="1" applyFont="1" applyBorder="1"/>
    <xf numFmtId="1" fontId="23" fillId="0" borderId="55" xfId="1" applyNumberFormat="1" applyFont="1" applyBorder="1"/>
    <xf numFmtId="0" fontId="18" fillId="16" borderId="20" xfId="1" applyFont="1" applyFill="1" applyBorder="1"/>
    <xf numFmtId="0" fontId="1" fillId="16" borderId="9" xfId="1" applyFill="1" applyBorder="1"/>
    <xf numFmtId="0" fontId="1" fillId="16" borderId="12" xfId="1" applyFill="1" applyBorder="1"/>
    <xf numFmtId="0" fontId="1" fillId="16" borderId="8" xfId="1" applyFill="1" applyBorder="1"/>
    <xf numFmtId="170" fontId="1" fillId="16" borderId="0" xfId="1" applyNumberFormat="1" applyFill="1"/>
    <xf numFmtId="174" fontId="1" fillId="16" borderId="0" xfId="1" applyNumberFormat="1" applyFill="1"/>
    <xf numFmtId="0" fontId="1" fillId="16" borderId="13" xfId="1" applyFill="1" applyBorder="1"/>
    <xf numFmtId="171" fontId="1" fillId="16" borderId="0" xfId="1" applyNumberFormat="1" applyFill="1"/>
    <xf numFmtId="0" fontId="1" fillId="16" borderId="0" xfId="1" applyFill="1"/>
    <xf numFmtId="172" fontId="1" fillId="16" borderId="0" xfId="1" applyNumberFormat="1" applyFill="1"/>
    <xf numFmtId="9" fontId="1" fillId="16" borderId="0" xfId="1" applyNumberFormat="1" applyFill="1"/>
    <xf numFmtId="0" fontId="1" fillId="16" borderId="14" xfId="1" applyFill="1" applyBorder="1"/>
    <xf numFmtId="179" fontId="1" fillId="16" borderId="15" xfId="1" applyNumberFormat="1" applyFill="1" applyBorder="1"/>
    <xf numFmtId="179" fontId="1" fillId="0" borderId="0" xfId="1" applyNumberFormat="1"/>
    <xf numFmtId="180" fontId="1" fillId="0" borderId="0" xfId="1" applyNumberFormat="1"/>
    <xf numFmtId="0" fontId="28" fillId="0" borderId="0" xfId="1" applyFont="1"/>
    <xf numFmtId="9" fontId="0" fillId="0" borderId="0" xfId="0" applyNumberFormat="1"/>
    <xf numFmtId="9" fontId="1" fillId="0" borderId="0" xfId="1" applyNumberFormat="1"/>
    <xf numFmtId="49" fontId="19" fillId="0" borderId="0" xfId="0" applyNumberFormat="1" applyFont="1"/>
    <xf numFmtId="182" fontId="1" fillId="16" borderId="0" xfId="1" applyNumberFormat="1" applyFill="1"/>
    <xf numFmtId="170" fontId="1" fillId="16" borderId="13" xfId="1" applyNumberFormat="1" applyFill="1" applyBorder="1"/>
    <xf numFmtId="181" fontId="1" fillId="16" borderId="0" xfId="1" applyNumberFormat="1" applyFill="1"/>
    <xf numFmtId="0" fontId="1" fillId="16" borderId="15" xfId="1" applyFill="1" applyBorder="1"/>
    <xf numFmtId="0" fontId="1" fillId="16" borderId="16" xfId="1" applyFill="1" applyBorder="1"/>
    <xf numFmtId="185" fontId="1" fillId="16" borderId="0" xfId="1" applyNumberFormat="1" applyFill="1"/>
    <xf numFmtId="184" fontId="1" fillId="16" borderId="0" xfId="1" applyNumberFormat="1" applyFill="1"/>
    <xf numFmtId="183" fontId="1" fillId="16" borderId="0" xfId="1" applyNumberFormat="1" applyFill="1"/>
    <xf numFmtId="0" fontId="6" fillId="3" borderId="2" xfId="0" applyFont="1" applyFill="1" applyBorder="1" applyAlignment="1">
      <alignment horizontal="left" vertical="center"/>
    </xf>
    <xf numFmtId="0" fontId="6" fillId="3" borderId="33" xfId="0" applyFont="1" applyFill="1" applyBorder="1" applyAlignment="1">
      <alignment horizontal="left" vertical="center"/>
    </xf>
    <xf numFmtId="164" fontId="26" fillId="0" borderId="0" xfId="0" applyNumberFormat="1" applyFont="1" applyProtection="1">
      <protection locked="0"/>
    </xf>
    <xf numFmtId="0" fontId="12" fillId="8" borderId="34" xfId="0" applyFont="1" applyFill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12" fillId="8" borderId="34" xfId="0" applyFont="1" applyFill="1" applyBorder="1" applyAlignment="1">
      <alignment horizontal="center"/>
    </xf>
    <xf numFmtId="0" fontId="5" fillId="0" borderId="20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24" fillId="0" borderId="8" xfId="0" applyFont="1" applyBorder="1" applyAlignment="1">
      <alignment vertical="center"/>
    </xf>
    <xf numFmtId="0" fontId="0" fillId="0" borderId="0" xfId="0"/>
    <xf numFmtId="3" fontId="26" fillId="15" borderId="20" xfId="0" applyNumberFormat="1" applyFont="1" applyFill="1" applyBorder="1" applyAlignment="1">
      <alignment horizontal="center" vertical="center" wrapText="1"/>
    </xf>
    <xf numFmtId="0" fontId="26" fillId="15" borderId="12" xfId="0" applyFont="1" applyFill="1" applyBorder="1" applyAlignment="1">
      <alignment wrapText="1"/>
    </xf>
    <xf numFmtId="0" fontId="26" fillId="15" borderId="8" xfId="0" applyFont="1" applyFill="1" applyBorder="1" applyAlignment="1">
      <alignment wrapText="1"/>
    </xf>
    <xf numFmtId="0" fontId="26" fillId="15" borderId="13" xfId="0" applyFont="1" applyFill="1" applyBorder="1" applyAlignment="1">
      <alignment wrapText="1"/>
    </xf>
    <xf numFmtId="0" fontId="26" fillId="15" borderId="14" xfId="0" applyFont="1" applyFill="1" applyBorder="1" applyAlignment="1">
      <alignment wrapText="1"/>
    </xf>
    <xf numFmtId="0" fontId="26" fillId="15" borderId="16" xfId="0" applyFont="1" applyFill="1" applyBorder="1" applyAlignment="1">
      <alignment wrapText="1"/>
    </xf>
    <xf numFmtId="170" fontId="13" fillId="0" borderId="34" xfId="0" applyNumberFormat="1" applyFont="1" applyBorder="1"/>
    <xf numFmtId="0" fontId="0" fillId="0" borderId="34" xfId="0" applyBorder="1"/>
    <xf numFmtId="0" fontId="21" fillId="0" borderId="0" xfId="1" applyFont="1" applyAlignment="1">
      <alignment horizontal="center"/>
    </xf>
    <xf numFmtId="0" fontId="22" fillId="0" borderId="0" xfId="1" applyFont="1" applyAlignment="1">
      <alignment horizontal="center"/>
    </xf>
  </cellXfs>
  <cellStyles count="2">
    <cellStyle name="Normal" xfId="0" builtinId="0"/>
    <cellStyle name="Normal 2" xfId="1" xr:uid="{91CB7649-0A20-9948-A22E-603CA56252CD}"/>
  </cellStyles>
  <dxfs count="2"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2" defaultPivotStyle="PivotStyleLight16"/>
  <colors>
    <mruColors>
      <color rgb="FFCC99FF"/>
      <color rgb="FFFF00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CENTER OF GRAVITY LIMITS</a:t>
            </a:r>
          </a:p>
        </c:rich>
      </c:tx>
      <c:layout>
        <c:manualLayout>
          <c:xMode val="edge"/>
          <c:yMode val="edge"/>
          <c:x val="0.25085544144500405"/>
          <c:y val="3.08817647794025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659459608932941"/>
          <c:y val="0.15278372450803732"/>
          <c:w val="0.79969667517463361"/>
          <c:h val="0.70703106554251316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Definitions!$C$3:$C$7</c:f>
              <c:numCache>
                <c:formatCode>0.000</c:formatCode>
                <c:ptCount val="5"/>
                <c:pt idx="0">
                  <c:v>0.3</c:v>
                </c:pt>
                <c:pt idx="1">
                  <c:v>0.26666666666666666</c:v>
                </c:pt>
                <c:pt idx="2">
                  <c:v>0.27586206896551724</c:v>
                </c:pt>
                <c:pt idx="3">
                  <c:v>0.58620689655172409</c:v>
                </c:pt>
                <c:pt idx="4">
                  <c:v>0.57499999999999996</c:v>
                </c:pt>
              </c:numCache>
            </c:numRef>
          </c:xVal>
          <c:yVal>
            <c:numRef>
              <c:f>Definitions!$B$3:$B$7</c:f>
              <c:numCache>
                <c:formatCode>0.0</c:formatCode>
                <c:ptCount val="5"/>
                <c:pt idx="0">
                  <c:v>400</c:v>
                </c:pt>
                <c:pt idx="1">
                  <c:v>450</c:v>
                </c:pt>
                <c:pt idx="2">
                  <c:v>580</c:v>
                </c:pt>
                <c:pt idx="3">
                  <c:v>580</c:v>
                </c:pt>
                <c:pt idx="4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68C-46A1-B7B3-8C4796CBC506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Definitions!$C$8:$C$10</c:f>
              <c:numCache>
                <c:formatCode>0.000</c:formatCode>
                <c:ptCount val="3"/>
                <c:pt idx="0">
                  <c:v>0.37271511910549349</c:v>
                </c:pt>
                <c:pt idx="1">
                  <c:v>0.37271511910549349</c:v>
                </c:pt>
                <c:pt idx="2">
                  <c:v>0.37271511910549349</c:v>
                </c:pt>
              </c:numCache>
            </c:numRef>
          </c:xVal>
          <c:yVal>
            <c:numRef>
              <c:f>Definitions!$B$8:$B$10</c:f>
              <c:numCache>
                <c:formatCode>0.0</c:formatCode>
                <c:ptCount val="3"/>
                <c:pt idx="0">
                  <c:v>411.4</c:v>
                </c:pt>
                <c:pt idx="1">
                  <c:v>411.4</c:v>
                </c:pt>
                <c:pt idx="2">
                  <c:v>411.4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68C-46A1-B7B3-8C4796CBC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596992"/>
        <c:axId val="127279488"/>
      </c:scatterChart>
      <c:valAx>
        <c:axId val="126596992"/>
        <c:scaling>
          <c:orientation val="minMax"/>
          <c:max val="0.60000000000000009"/>
          <c:min val="0.2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AIRPLANE C.G. LOCATION M</a:t>
                </a:r>
              </a:p>
            </c:rich>
          </c:tx>
          <c:layout>
            <c:manualLayout>
              <c:xMode val="edge"/>
              <c:yMode val="edge"/>
              <c:x val="0.31622993211520639"/>
              <c:y val="0.91832770903637051"/>
            </c:manualLayout>
          </c:layout>
          <c:overlay val="0"/>
          <c:spPr>
            <a:noFill/>
            <a:ln w="25400">
              <a:noFill/>
            </a:ln>
          </c:spPr>
        </c:title>
        <c:numFmt formatCode="0.00_ ;[Red]\-0.00\ 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7279488"/>
        <c:crosses val="autoZero"/>
        <c:crossBetween val="midCat"/>
        <c:majorUnit val="0.1"/>
      </c:valAx>
      <c:valAx>
        <c:axId val="127279488"/>
        <c:scaling>
          <c:orientation val="minMax"/>
          <c:max val="620"/>
          <c:min val="3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LOADES AIRPLANE WEIGHT  KG</a:t>
                </a:r>
              </a:p>
            </c:rich>
          </c:tx>
          <c:layout>
            <c:manualLayout>
              <c:xMode val="edge"/>
              <c:yMode val="edge"/>
              <c:x val="2.8886317201487186E-2"/>
              <c:y val="0.25355601383160442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6596992"/>
        <c:crosses val="autoZero"/>
        <c:crossBetween val="midCat"/>
        <c:majorUnit val="20"/>
        <c:min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CH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CENTER OF GRAVITY MOMENT ENVELOPE</a:t>
            </a:r>
          </a:p>
        </c:rich>
      </c:tx>
      <c:layout>
        <c:manualLayout>
          <c:xMode val="edge"/>
          <c:yMode val="edge"/>
          <c:x val="0.24094619987422664"/>
          <c:y val="3.42064163467169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60322024120685"/>
          <c:y val="0.16675574559059331"/>
          <c:w val="0.8248344470642921"/>
          <c:h val="0.67557455905932662"/>
        </c:manualLayout>
      </c:layout>
      <c:scatterChart>
        <c:scatterStyle val="lineMarker"/>
        <c:varyColors val="0"/>
        <c:ser>
          <c:idx val="0"/>
          <c:order val="0"/>
          <c:spPr>
            <a:ln w="38100">
              <a:solidFill>
                <a:srgbClr val="000080"/>
              </a:solidFill>
              <a:prstDash val="solid"/>
            </a:ln>
          </c:spPr>
          <c:marker>
            <c:symbol val="diamond"/>
            <c:size val="9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Definitions!$D$3:$D$7</c:f>
              <c:numCache>
                <c:formatCode>0.0</c:formatCode>
                <c:ptCount val="5"/>
                <c:pt idx="0">
                  <c:v>120</c:v>
                </c:pt>
                <c:pt idx="1">
                  <c:v>120</c:v>
                </c:pt>
                <c:pt idx="2">
                  <c:v>160</c:v>
                </c:pt>
                <c:pt idx="3">
                  <c:v>340</c:v>
                </c:pt>
                <c:pt idx="4">
                  <c:v>230</c:v>
                </c:pt>
              </c:numCache>
            </c:numRef>
          </c:xVal>
          <c:yVal>
            <c:numRef>
              <c:f>Definitions!$B$3:$B$7</c:f>
              <c:numCache>
                <c:formatCode>0.0</c:formatCode>
                <c:ptCount val="5"/>
                <c:pt idx="0">
                  <c:v>400</c:v>
                </c:pt>
                <c:pt idx="1">
                  <c:v>450</c:v>
                </c:pt>
                <c:pt idx="2">
                  <c:v>580</c:v>
                </c:pt>
                <c:pt idx="3">
                  <c:v>580</c:v>
                </c:pt>
                <c:pt idx="4">
                  <c:v>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FB-4783-B74D-8C2FB9802CF6}"/>
            </c:ext>
          </c:extLst>
        </c:ser>
        <c:ser>
          <c:idx val="1"/>
          <c:order val="1"/>
          <c:spPr>
            <a:ln w="25400">
              <a:solidFill>
                <a:srgbClr val="FF00FF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Definitions!$D$8:$D$10</c:f>
              <c:numCache>
                <c:formatCode>0.0</c:formatCode>
                <c:ptCount val="3"/>
                <c:pt idx="0">
                  <c:v>153.33500000000001</c:v>
                </c:pt>
                <c:pt idx="1">
                  <c:v>153.33500000000001</c:v>
                </c:pt>
                <c:pt idx="2">
                  <c:v>153.33500000000001</c:v>
                </c:pt>
              </c:numCache>
            </c:numRef>
          </c:xVal>
          <c:yVal>
            <c:numRef>
              <c:f>Definitions!$B$8:$B$10</c:f>
              <c:numCache>
                <c:formatCode>0.0</c:formatCode>
                <c:ptCount val="3"/>
                <c:pt idx="0">
                  <c:v>411.4</c:v>
                </c:pt>
                <c:pt idx="1">
                  <c:v>411.4</c:v>
                </c:pt>
                <c:pt idx="2">
                  <c:v>411.4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4FB-4783-B74D-8C2FB9802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342464"/>
        <c:axId val="127353216"/>
      </c:scatterChart>
      <c:valAx>
        <c:axId val="127342464"/>
        <c:scaling>
          <c:orientation val="minMax"/>
          <c:min val="115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LOADED AIRPLANE MOMNET m/kg</a:t>
                </a:r>
              </a:p>
            </c:rich>
          </c:tx>
          <c:layout>
            <c:manualLayout>
              <c:xMode val="edge"/>
              <c:yMode val="edge"/>
              <c:x val="0.32963808146650247"/>
              <c:y val="0.9107429882215136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7353216"/>
        <c:crosses val="autoZero"/>
        <c:crossBetween val="midCat"/>
        <c:majorUnit val="10"/>
        <c:minorUnit val="1"/>
      </c:valAx>
      <c:valAx>
        <c:axId val="127353216"/>
        <c:scaling>
          <c:orientation val="minMax"/>
          <c:max val="620"/>
          <c:min val="3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LOADED AIRPLANE WEIGHT kg</a:t>
                </a:r>
              </a:p>
            </c:rich>
          </c:tx>
          <c:layout>
            <c:manualLayout>
              <c:xMode val="edge"/>
              <c:yMode val="edge"/>
              <c:x val="2.8085684052764567E-2"/>
              <c:y val="0.2672368820632958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CH"/>
          </a:p>
        </c:txPr>
        <c:crossAx val="127342464"/>
        <c:crosses val="autoZero"/>
        <c:crossBetween val="midCat"/>
        <c:majorUnit val="2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CH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trlProps/ctrlProp1.xml><?xml version="1.0" encoding="utf-8"?>
<formControlPr xmlns="http://schemas.microsoft.com/office/spreadsheetml/2009/9/main" objectType="Scroll" dx="22" fmlaLink="$C$4" horiz="1" max="33" noThreeD="1" page="10" val="0"/>
</file>

<file path=xl/ctrlProps/ctrlProp10.xml><?xml version="1.0" encoding="utf-8"?>
<formControlPr xmlns="http://schemas.microsoft.com/office/spreadsheetml/2009/9/main" objectType="Scroll" dx="22" fmlaLink="$E$23" horiz="1" max="54" noThreeD="1" page="10" val="4"/>
</file>

<file path=xl/ctrlProps/ctrlProp2.xml><?xml version="1.0" encoding="utf-8"?>
<formControlPr xmlns="http://schemas.microsoft.com/office/spreadsheetml/2009/9/main" objectType="Scroll" dx="22" fmlaLink="$C$5" horiz="1" max="15" noThreeD="1" page="10" val="0"/>
</file>

<file path=xl/ctrlProps/ctrlProp3.xml><?xml version="1.0" encoding="utf-8"?>
<formControlPr xmlns="http://schemas.microsoft.com/office/spreadsheetml/2009/9/main" objectType="Scroll" dx="22" fmlaLink="$C$6" horiz="1" max="150" noThreeD="1" page="10" val="0"/>
</file>

<file path=xl/ctrlProps/ctrlProp4.xml><?xml version="1.0" encoding="utf-8"?>
<formControlPr xmlns="http://schemas.microsoft.com/office/spreadsheetml/2009/9/main" objectType="Scroll" dx="22" fmlaLink="$C$7" horiz="1" max="150" noThreeD="1" page="10" val="0"/>
</file>

<file path=xl/ctrlProps/ctrlProp5.xml><?xml version="1.0" encoding="utf-8"?>
<formControlPr xmlns="http://schemas.microsoft.com/office/spreadsheetml/2009/9/main" objectType="Scroll" dx="22" fmlaLink="$C$8" horiz="1" max="20" noThreeD="1" page="10" val="0"/>
</file>

<file path=xl/ctrlProps/ctrlProp6.xml><?xml version="1.0" encoding="utf-8"?>
<formControlPr xmlns="http://schemas.microsoft.com/office/spreadsheetml/2009/9/main" objectType="Scroll" dx="22" fmlaLink="$C$19" horiz="1" max="8000" noThreeD="1" page="10" val="2146"/>
</file>

<file path=xl/ctrlProps/ctrlProp7.xml><?xml version="1.0" encoding="utf-8"?>
<formControlPr xmlns="http://schemas.microsoft.com/office/spreadsheetml/2009/9/main" objectType="Scroll" dx="22" fmlaLink="$C$20" horiz="1" max="1050" min="900" noThreeD="1" page="10" val="1013"/>
</file>

<file path=xl/ctrlProps/ctrlProp8.xml><?xml version="1.0" encoding="utf-8"?>
<formControlPr xmlns="http://schemas.microsoft.com/office/spreadsheetml/2009/9/main" objectType="Scroll" dx="22" fmlaLink="$C$21" horiz="1" max="40" noThreeD="1" page="10" val="20"/>
</file>

<file path=xl/ctrlProps/ctrlProp9.xml><?xml version="1.0" encoding="utf-8"?>
<formControlPr xmlns="http://schemas.microsoft.com/office/spreadsheetml/2009/9/main" objectType="Scroll" dx="22" fmlaLink="$E$22" horiz="1" max="16" noThreeD="1" page="10" val="8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693420</xdr:colOff>
      <xdr:row>7</xdr:row>
      <xdr:rowOff>144780</xdr:rowOff>
    </xdr:from>
    <xdr:to>
      <xdr:col>1</xdr:col>
      <xdr:colOff>83820</xdr:colOff>
      <xdr:row>12</xdr:row>
      <xdr:rowOff>160020</xdr:rowOff>
    </xdr:to>
    <xdr:sp macro="" textlink="">
      <xdr:nvSpPr>
        <xdr:cNvPr id="1087" name="Line 23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ShapeType="1"/>
        </xdr:cNvSpPr>
      </xdr:nvSpPr>
      <xdr:spPr bwMode="auto">
        <a:xfrm flipV="1">
          <a:off x="693420" y="1706880"/>
          <a:ext cx="838200" cy="123444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CC00" mc:Ignorable="a14" a14:legacySpreadsheetColorIndex="51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  <xdr:txBody>
        <a:bodyPr/>
        <a:lstStyle/>
        <a:p>
          <a:endParaRPr lang="en-US"/>
        </a:p>
      </xdr:txBody>
    </xdr:sp>
    <xdr:clientData fPrintsWithSheet="0"/>
  </xdr:twoCellAnchor>
  <xdr:twoCellAnchor>
    <xdr:from>
      <xdr:col>7</xdr:col>
      <xdr:colOff>656802</xdr:colOff>
      <xdr:row>0</xdr:row>
      <xdr:rowOff>4868</xdr:rowOff>
    </xdr:from>
    <xdr:to>
      <xdr:col>14</xdr:col>
      <xdr:colOff>872068</xdr:colOff>
      <xdr:row>26</xdr:row>
      <xdr:rowOff>211667</xdr:rowOff>
    </xdr:to>
    <xdr:graphicFrame macro="">
      <xdr:nvGraphicFramePr>
        <xdr:cNvPr id="1088" name="Diagramm 45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790574</xdr:colOff>
      <xdr:row>7</xdr:row>
      <xdr:rowOff>114300</xdr:rowOff>
    </xdr:from>
    <xdr:to>
      <xdr:col>2</xdr:col>
      <xdr:colOff>76199</xdr:colOff>
      <xdr:row>14</xdr:row>
      <xdr:rowOff>47624</xdr:rowOff>
    </xdr:to>
    <xdr:sp macro="" textlink="">
      <xdr:nvSpPr>
        <xdr:cNvPr id="12" name="Line 23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 flipV="1">
          <a:off x="790574" y="1676400"/>
          <a:ext cx="2371725" cy="1564004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CC00" mc:Ignorable="a14" a14:legacySpreadsheetColorIndex="51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3</xdr:row>
          <xdr:rowOff>38100</xdr:rowOff>
        </xdr:from>
        <xdr:to>
          <xdr:col>1</xdr:col>
          <xdr:colOff>1562100</xdr:colOff>
          <xdr:row>3</xdr:row>
          <xdr:rowOff>215900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4</xdr:row>
          <xdr:rowOff>25400</xdr:rowOff>
        </xdr:from>
        <xdr:to>
          <xdr:col>1</xdr:col>
          <xdr:colOff>1562100</xdr:colOff>
          <xdr:row>4</xdr:row>
          <xdr:rowOff>215900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5</xdr:row>
          <xdr:rowOff>25400</xdr:rowOff>
        </xdr:from>
        <xdr:to>
          <xdr:col>1</xdr:col>
          <xdr:colOff>1562100</xdr:colOff>
          <xdr:row>5</xdr:row>
          <xdr:rowOff>215900</xdr:rowOff>
        </xdr:to>
        <xdr:sp macro="" textlink="">
          <xdr:nvSpPr>
            <xdr:cNvPr id="1027" name="Scroll Bar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6</xdr:row>
          <xdr:rowOff>38100</xdr:rowOff>
        </xdr:from>
        <xdr:to>
          <xdr:col>1</xdr:col>
          <xdr:colOff>1562100</xdr:colOff>
          <xdr:row>6</xdr:row>
          <xdr:rowOff>215900</xdr:rowOff>
        </xdr:to>
        <xdr:sp macro="" textlink="">
          <xdr:nvSpPr>
            <xdr:cNvPr id="1028" name="Scroll Bar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50800</xdr:colOff>
          <xdr:row>7</xdr:row>
          <xdr:rowOff>38100</xdr:rowOff>
        </xdr:from>
        <xdr:to>
          <xdr:col>1</xdr:col>
          <xdr:colOff>1562100</xdr:colOff>
          <xdr:row>7</xdr:row>
          <xdr:rowOff>215900</xdr:rowOff>
        </xdr:to>
        <xdr:sp macro="" textlink="">
          <xdr:nvSpPr>
            <xdr:cNvPr id="1029" name="Scroll Bar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18</xdr:row>
          <xdr:rowOff>12700</xdr:rowOff>
        </xdr:from>
        <xdr:to>
          <xdr:col>1</xdr:col>
          <xdr:colOff>1524000</xdr:colOff>
          <xdr:row>18</xdr:row>
          <xdr:rowOff>190500</xdr:rowOff>
        </xdr:to>
        <xdr:sp macro="" textlink="">
          <xdr:nvSpPr>
            <xdr:cNvPr id="1035" name="Scroll Bar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19</xdr:row>
          <xdr:rowOff>12700</xdr:rowOff>
        </xdr:from>
        <xdr:to>
          <xdr:col>1</xdr:col>
          <xdr:colOff>1524000</xdr:colOff>
          <xdr:row>19</xdr:row>
          <xdr:rowOff>190500</xdr:rowOff>
        </xdr:to>
        <xdr:sp macro="" textlink="">
          <xdr:nvSpPr>
            <xdr:cNvPr id="1036" name="Scroll Bar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20</xdr:row>
          <xdr:rowOff>12700</xdr:rowOff>
        </xdr:from>
        <xdr:to>
          <xdr:col>1</xdr:col>
          <xdr:colOff>1524000</xdr:colOff>
          <xdr:row>20</xdr:row>
          <xdr:rowOff>190500</xdr:rowOff>
        </xdr:to>
        <xdr:sp macro="" textlink="">
          <xdr:nvSpPr>
            <xdr:cNvPr id="1037" name="Scroll Bar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21</xdr:row>
          <xdr:rowOff>12700</xdr:rowOff>
        </xdr:from>
        <xdr:to>
          <xdr:col>1</xdr:col>
          <xdr:colOff>1524000</xdr:colOff>
          <xdr:row>21</xdr:row>
          <xdr:rowOff>190500</xdr:rowOff>
        </xdr:to>
        <xdr:sp macro="" textlink="">
          <xdr:nvSpPr>
            <xdr:cNvPr id="1038" name="Scroll Bar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22</xdr:row>
          <xdr:rowOff>12700</xdr:rowOff>
        </xdr:from>
        <xdr:to>
          <xdr:col>1</xdr:col>
          <xdr:colOff>1524000</xdr:colOff>
          <xdr:row>22</xdr:row>
          <xdr:rowOff>190500</xdr:rowOff>
        </xdr:to>
        <xdr:sp macro="" textlink="">
          <xdr:nvSpPr>
            <xdr:cNvPr id="1039" name="Scroll Bar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10</xdr:row>
      <xdr:rowOff>45720</xdr:rowOff>
    </xdr:from>
    <xdr:to>
      <xdr:col>7</xdr:col>
      <xdr:colOff>219075</xdr:colOff>
      <xdr:row>32</xdr:row>
      <xdr:rowOff>45720</xdr:rowOff>
    </xdr:to>
    <xdr:graphicFrame macro="">
      <xdr:nvGraphicFramePr>
        <xdr:cNvPr id="3099" name="Diagramm 104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182S_HB-CZU_MassBalance_Performan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_Output"/>
      <sheetName val="Definitions"/>
      <sheetName val="Takeoff Distance Calculation"/>
    </sheetNames>
    <sheetDataSet>
      <sheetData sheetId="0">
        <row r="10">
          <cell r="C10">
            <v>1974</v>
          </cell>
        </row>
      </sheetData>
      <sheetData sheetId="1">
        <row r="3">
          <cell r="H3">
            <v>0.45359237000000002</v>
          </cell>
        </row>
        <row r="4">
          <cell r="H4">
            <v>6.0086912054539185</v>
          </cell>
        </row>
        <row r="5">
          <cell r="H5">
            <v>2.7254964844799998</v>
          </cell>
        </row>
        <row r="6">
          <cell r="H6">
            <v>0.72</v>
          </cell>
        </row>
        <row r="7">
          <cell r="H7">
            <v>3.7854117839999999</v>
          </cell>
        </row>
        <row r="8">
          <cell r="H8">
            <v>2.5399999999999999E-2</v>
          </cell>
        </row>
      </sheetData>
      <sheetData sheetId="2">
        <row r="12">
          <cell r="C12">
            <v>1445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P47"/>
  <sheetViews>
    <sheetView tabSelected="1" zoomScale="150" zoomScaleNormal="150" workbookViewId="0">
      <selection sqref="A1:A2"/>
    </sheetView>
  </sheetViews>
  <sheetFormatPr baseColWidth="10" defaultColWidth="11.5" defaultRowHeight="16" x14ac:dyDescent="0.2"/>
  <cols>
    <col min="1" max="1" width="21.1640625" style="33" customWidth="1"/>
    <col min="2" max="2" width="23.83203125" style="33" customWidth="1"/>
    <col min="3" max="3" width="9.1640625" style="90" customWidth="1"/>
    <col min="4" max="4" width="8.5" style="33" customWidth="1"/>
    <col min="5" max="5" width="8.6640625" style="90" customWidth="1"/>
    <col min="6" max="6" width="8.83203125" style="33" customWidth="1"/>
    <col min="7" max="7" width="8.5" style="33" customWidth="1"/>
    <col min="8" max="8" width="8.6640625" style="33" customWidth="1"/>
    <col min="9" max="16384" width="11.5" style="33"/>
  </cols>
  <sheetData>
    <row r="1" spans="1:16" ht="13" customHeight="1" x14ac:dyDescent="0.2">
      <c r="A1" s="198" t="s">
        <v>30</v>
      </c>
      <c r="B1" s="200" t="s">
        <v>31</v>
      </c>
      <c r="C1" s="25" t="s">
        <v>11</v>
      </c>
      <c r="D1" s="25" t="s">
        <v>0</v>
      </c>
      <c r="E1" s="26" t="s">
        <v>1</v>
      </c>
      <c r="F1" s="27" t="s">
        <v>11</v>
      </c>
      <c r="G1" s="28" t="s">
        <v>0</v>
      </c>
      <c r="H1" s="29" t="s">
        <v>1</v>
      </c>
      <c r="I1" s="30"/>
      <c r="J1" s="30"/>
      <c r="K1" s="30"/>
      <c r="L1" s="30"/>
      <c r="M1" s="30"/>
      <c r="N1" s="30"/>
      <c r="O1" s="31"/>
      <c r="P1" s="32"/>
    </row>
    <row r="2" spans="1:16" ht="13" customHeight="1" thickBot="1" x14ac:dyDescent="0.25">
      <c r="A2" s="199"/>
      <c r="B2" s="201"/>
      <c r="C2" s="34" t="s">
        <v>25</v>
      </c>
      <c r="D2" s="34" t="s">
        <v>28</v>
      </c>
      <c r="E2" s="35" t="s">
        <v>29</v>
      </c>
      <c r="F2" s="36" t="s">
        <v>21</v>
      </c>
      <c r="G2" s="37" t="s">
        <v>22</v>
      </c>
      <c r="H2" s="38" t="s">
        <v>27</v>
      </c>
      <c r="O2" s="39"/>
      <c r="P2" s="32"/>
    </row>
    <row r="3" spans="1:16" ht="19" customHeight="1" thickBot="1" x14ac:dyDescent="0.25">
      <c r="A3" s="40" t="s">
        <v>6</v>
      </c>
      <c r="B3" s="41" t="s">
        <v>37</v>
      </c>
      <c r="C3" s="42">
        <v>411.4</v>
      </c>
      <c r="D3" s="43">
        <f>E3/C3</f>
        <v>0.37271511910549349</v>
      </c>
      <c r="E3" s="44">
        <v>153.33500000000001</v>
      </c>
      <c r="F3" s="45">
        <f t="shared" ref="F3:F8" si="0">C3/kg_lbs</f>
        <v>906.98174662858628</v>
      </c>
      <c r="G3" s="46">
        <v>24</v>
      </c>
      <c r="H3" s="47">
        <f>F3*G3</f>
        <v>21767.561919086071</v>
      </c>
      <c r="O3" s="39"/>
      <c r="P3" s="32"/>
    </row>
    <row r="4" spans="1:16" ht="19" customHeight="1" x14ac:dyDescent="0.2">
      <c r="A4" s="48" t="s">
        <v>32</v>
      </c>
      <c r="B4" s="49"/>
      <c r="C4" s="23">
        <v>0</v>
      </c>
      <c r="D4" s="50">
        <v>-0.46</v>
      </c>
      <c r="E4" s="51">
        <f>C4*D4</f>
        <v>0</v>
      </c>
      <c r="F4" s="52">
        <f t="shared" si="0"/>
        <v>0</v>
      </c>
      <c r="G4" s="53">
        <f t="shared" ref="G4:G8" si="1">D4/kg_lbs</f>
        <v>-1.0141264060504369</v>
      </c>
      <c r="H4" s="54">
        <f>F4*G4</f>
        <v>0</v>
      </c>
      <c r="O4" s="39"/>
      <c r="P4" s="32"/>
    </row>
    <row r="5" spans="1:16" ht="19" customHeight="1" x14ac:dyDescent="0.2">
      <c r="A5" s="48" t="s">
        <v>33</v>
      </c>
      <c r="B5" s="49"/>
      <c r="C5" s="24">
        <v>0</v>
      </c>
      <c r="D5" s="55">
        <v>0.5</v>
      </c>
      <c r="E5" s="51">
        <f>C5*D5</f>
        <v>0</v>
      </c>
      <c r="F5" s="52">
        <f t="shared" si="0"/>
        <v>0</v>
      </c>
      <c r="G5" s="53">
        <f t="shared" si="1"/>
        <v>1.1023113109243878</v>
      </c>
      <c r="H5" s="54">
        <f t="shared" ref="H5:H8" si="2">F5*G5</f>
        <v>0</v>
      </c>
      <c r="O5" s="39"/>
      <c r="P5" s="32"/>
    </row>
    <row r="6" spans="1:16" ht="19" customHeight="1" x14ac:dyDescent="0.2">
      <c r="A6" s="48" t="s">
        <v>34</v>
      </c>
      <c r="B6" s="49"/>
      <c r="C6" s="24">
        <v>0</v>
      </c>
      <c r="D6" s="55">
        <v>0.23</v>
      </c>
      <c r="E6" s="51">
        <f t="shared" ref="E6:E8" si="3">C6*D6</f>
        <v>0</v>
      </c>
      <c r="F6" s="52">
        <f t="shared" si="0"/>
        <v>0</v>
      </c>
      <c r="G6" s="53">
        <f t="shared" si="1"/>
        <v>0.50706320302521846</v>
      </c>
      <c r="H6" s="54">
        <f t="shared" si="2"/>
        <v>0</v>
      </c>
      <c r="O6" s="39"/>
      <c r="P6" s="32"/>
    </row>
    <row r="7" spans="1:16" ht="19" customHeight="1" x14ac:dyDescent="0.2">
      <c r="A7" s="48" t="s">
        <v>35</v>
      </c>
      <c r="B7" s="49"/>
      <c r="C7" s="24">
        <v>0</v>
      </c>
      <c r="D7" s="55">
        <v>0.91</v>
      </c>
      <c r="E7" s="51">
        <f t="shared" si="3"/>
        <v>0</v>
      </c>
      <c r="F7" s="52">
        <f t="shared" si="0"/>
        <v>0</v>
      </c>
      <c r="G7" s="53">
        <f t="shared" si="1"/>
        <v>2.0062065858823859</v>
      </c>
      <c r="H7" s="54">
        <f t="shared" si="2"/>
        <v>0</v>
      </c>
      <c r="O7" s="39"/>
      <c r="P7" s="32"/>
    </row>
    <row r="8" spans="1:16" ht="19" customHeight="1" thickBot="1" x14ac:dyDescent="0.25">
      <c r="A8" s="48" t="s">
        <v>41</v>
      </c>
      <c r="B8" s="49"/>
      <c r="C8" s="93">
        <v>0</v>
      </c>
      <c r="D8" s="55">
        <v>1.4</v>
      </c>
      <c r="E8" s="51">
        <f t="shared" si="3"/>
        <v>0</v>
      </c>
      <c r="F8" s="52">
        <f t="shared" si="0"/>
        <v>0</v>
      </c>
      <c r="G8" s="53">
        <f t="shared" si="1"/>
        <v>3.0864716705882858</v>
      </c>
      <c r="H8" s="54">
        <f t="shared" si="2"/>
        <v>0</v>
      </c>
      <c r="O8" s="39"/>
      <c r="P8" s="32"/>
    </row>
    <row r="9" spans="1:16" ht="19" customHeight="1" thickBot="1" x14ac:dyDescent="0.25">
      <c r="A9" s="56" t="s">
        <v>8</v>
      </c>
      <c r="B9" s="57" t="str">
        <f>IF(C9&lt;C10,"Weight iniside Limit","Weight OUTSIDE Limit")</f>
        <v>Weight iniside Limit</v>
      </c>
      <c r="C9" s="58">
        <f>SUM(C3:C8)</f>
        <v>411.4</v>
      </c>
      <c r="D9" s="59">
        <f>E9/C9</f>
        <v>0.37271511910549349</v>
      </c>
      <c r="E9" s="60">
        <f>SUM(E3:E8)</f>
        <v>153.33500000000001</v>
      </c>
      <c r="F9" s="61">
        <f>SUM(F3:F8)</f>
        <v>906.98174662858628</v>
      </c>
      <c r="G9" s="62">
        <f>H9/F9</f>
        <v>24</v>
      </c>
      <c r="H9" s="63">
        <f>SUM(H3:H8)</f>
        <v>21767.561919086071</v>
      </c>
      <c r="O9" s="39"/>
      <c r="P9" s="32"/>
    </row>
    <row r="10" spans="1:16" ht="19" customHeight="1" thickBot="1" x14ac:dyDescent="0.25">
      <c r="A10" s="64"/>
      <c r="B10" s="65" t="s">
        <v>46</v>
      </c>
      <c r="C10" s="66">
        <v>580</v>
      </c>
      <c r="D10" s="67" t="s">
        <v>25</v>
      </c>
      <c r="E10" s="68"/>
      <c r="F10" s="69">
        <f>C10/kg_lbs</f>
        <v>1278.6811206722898</v>
      </c>
      <c r="G10" s="70" t="s">
        <v>21</v>
      </c>
      <c r="H10" s="71"/>
      <c r="O10" s="39"/>
      <c r="P10" s="32"/>
    </row>
    <row r="11" spans="1:16" s="17" customFormat="1" ht="19" customHeight="1" x14ac:dyDescent="0.15">
      <c r="A11" s="94"/>
      <c r="B11" s="72" t="s">
        <v>26</v>
      </c>
      <c r="C11" s="73">
        <f>C3+C6+C7+C8</f>
        <v>411.4</v>
      </c>
      <c r="D11" s="74" t="s">
        <v>25</v>
      </c>
      <c r="E11" s="75"/>
      <c r="F11" s="76">
        <f>C11/kg_lbs</f>
        <v>906.98174662858628</v>
      </c>
      <c r="G11" s="77" t="s">
        <v>21</v>
      </c>
      <c r="H11" s="78"/>
      <c r="O11" s="95"/>
      <c r="P11" s="96"/>
    </row>
    <row r="12" spans="1:16" s="17" customFormat="1" ht="19" customHeight="1" thickBot="1" x14ac:dyDescent="0.2">
      <c r="A12" s="94"/>
      <c r="B12" s="79" t="s">
        <v>47</v>
      </c>
      <c r="C12" s="80">
        <f>C10-C9</f>
        <v>168.60000000000002</v>
      </c>
      <c r="D12" s="81" t="s">
        <v>25</v>
      </c>
      <c r="E12" s="75"/>
      <c r="F12" s="82">
        <f>C12/kg_lbs</f>
        <v>371.69937404370364</v>
      </c>
      <c r="G12" s="83" t="s">
        <v>21</v>
      </c>
      <c r="H12" s="84"/>
      <c r="O12" s="95"/>
      <c r="P12" s="96"/>
    </row>
    <row r="13" spans="1:16" s="17" customFormat="1" ht="14" customHeight="1" thickBot="1" x14ac:dyDescent="0.2">
      <c r="A13" s="96"/>
      <c r="B13" s="202"/>
      <c r="C13" s="202"/>
      <c r="D13" s="97"/>
      <c r="E13" s="97"/>
      <c r="O13" s="95"/>
      <c r="P13" s="96"/>
    </row>
    <row r="14" spans="1:16" s="17" customFormat="1" ht="14" customHeight="1" x14ac:dyDescent="0.15">
      <c r="A14" s="85" t="s">
        <v>19</v>
      </c>
      <c r="B14" s="98" t="s">
        <v>9</v>
      </c>
      <c r="C14" s="99" t="s">
        <v>21</v>
      </c>
      <c r="D14" s="99" t="s">
        <v>24</v>
      </c>
      <c r="E14" s="100" t="s">
        <v>10</v>
      </c>
      <c r="F14" s="101" t="s">
        <v>25</v>
      </c>
      <c r="O14" s="95"/>
      <c r="P14" s="96"/>
    </row>
    <row r="15" spans="1:16" s="17" customFormat="1" ht="14" customHeight="1" x14ac:dyDescent="0.15">
      <c r="A15" s="115" t="s">
        <v>36</v>
      </c>
      <c r="B15" s="102" t="s">
        <v>44</v>
      </c>
      <c r="C15" s="103">
        <f>D15*lbs_gal</f>
        <v>103.17633870252271</v>
      </c>
      <c r="D15" s="104">
        <f>E15/liter_gal</f>
        <v>17.171183403279649</v>
      </c>
      <c r="E15" s="105">
        <v>65</v>
      </c>
      <c r="F15" s="106">
        <f>E15*liter_kg</f>
        <v>46.8</v>
      </c>
      <c r="O15" s="95"/>
      <c r="P15" s="96"/>
    </row>
    <row r="16" spans="1:16" s="17" customFormat="1" ht="14" customHeight="1" thickBot="1" x14ac:dyDescent="0.2">
      <c r="A16" s="86"/>
      <c r="B16" s="107" t="s">
        <v>43</v>
      </c>
      <c r="C16" s="108">
        <f>F16/kg_lbs</f>
        <v>0</v>
      </c>
      <c r="D16" s="109">
        <f>F16/lbs_gal</f>
        <v>0</v>
      </c>
      <c r="E16" s="110">
        <f>F16/liter_kg</f>
        <v>0</v>
      </c>
      <c r="F16" s="111">
        <f>C4+C5</f>
        <v>0</v>
      </c>
      <c r="O16" s="95"/>
      <c r="P16" s="96"/>
    </row>
    <row r="17" spans="1:16" s="17" customFormat="1" ht="14" customHeight="1" x14ac:dyDescent="0.15">
      <c r="A17" s="96"/>
      <c r="O17" s="95"/>
      <c r="P17" s="96"/>
    </row>
    <row r="18" spans="1:16" s="17" customFormat="1" ht="17" customHeight="1" thickBot="1" x14ac:dyDescent="0.2">
      <c r="A18" s="203" t="s">
        <v>63</v>
      </c>
      <c r="B18" s="204"/>
      <c r="C18" s="139"/>
      <c r="D18" s="140"/>
      <c r="E18" s="141"/>
      <c r="F18" s="142"/>
      <c r="G18"/>
      <c r="O18" s="95"/>
      <c r="P18" s="96"/>
    </row>
    <row r="19" spans="1:16" s="17" customFormat="1" ht="17" customHeight="1" x14ac:dyDescent="0.15">
      <c r="A19" s="143" t="s">
        <v>49</v>
      </c>
      <c r="B19" s="144"/>
      <c r="C19" s="145">
        <v>2146</v>
      </c>
      <c r="D19" s="140" t="str">
        <f>IF(C19=2146, "(LSZO)", "")</f>
        <v>(LSZO)</v>
      </c>
      <c r="E19" s="141"/>
      <c r="F19" s="205" t="s">
        <v>64</v>
      </c>
      <c r="G19" s="206"/>
      <c r="O19" s="95"/>
      <c r="P19" s="96"/>
    </row>
    <row r="20" spans="1:16" s="17" customFormat="1" ht="17" customHeight="1" x14ac:dyDescent="0.15">
      <c r="A20" s="143" t="s">
        <v>50</v>
      </c>
      <c r="B20" s="146"/>
      <c r="C20" s="147">
        <v>1013</v>
      </c>
      <c r="D20" s="148">
        <f>'Takeoff Distance Calculation'!D14</f>
        <v>2152.75</v>
      </c>
      <c r="E20" s="141"/>
      <c r="F20" s="207"/>
      <c r="G20" s="208"/>
      <c r="O20" s="95"/>
      <c r="P20" s="96"/>
    </row>
    <row r="21" spans="1:16" s="17" customFormat="1" ht="17" customHeight="1" thickBot="1" x14ac:dyDescent="0.2">
      <c r="A21" s="143" t="s">
        <v>51</v>
      </c>
      <c r="B21" s="149"/>
      <c r="C21" s="150">
        <v>20</v>
      </c>
      <c r="D21" s="140"/>
      <c r="E21" s="141"/>
      <c r="F21" s="207"/>
      <c r="G21" s="208"/>
      <c r="O21" s="95"/>
      <c r="P21" s="96"/>
    </row>
    <row r="22" spans="1:16" s="17" customFormat="1" ht="17" customHeight="1" x14ac:dyDescent="0.15">
      <c r="A22" s="143" t="s">
        <v>52</v>
      </c>
      <c r="B22" s="149"/>
      <c r="C22" s="151">
        <f>E22-8</f>
        <v>0</v>
      </c>
      <c r="D22" s="152" t="str">
        <f>'Takeoff Distance Calculation'!C16</f>
        <v>(Calm)</v>
      </c>
      <c r="E22" s="153">
        <v>8</v>
      </c>
      <c r="F22" s="207"/>
      <c r="G22" s="208"/>
      <c r="O22" s="95"/>
      <c r="P22" s="96"/>
    </row>
    <row r="23" spans="1:16" s="17" customFormat="1" ht="17" customHeight="1" x14ac:dyDescent="0.15">
      <c r="A23" s="143" t="s">
        <v>53</v>
      </c>
      <c r="B23" s="154"/>
      <c r="C23" s="154">
        <f>(E23-4)/100</f>
        <v>0</v>
      </c>
      <c r="D23" s="182" t="str">
        <f>IFERROR('Takeoff Distance Calculation'!D17, "")</f>
        <v>Grass</v>
      </c>
      <c r="E23" s="193">
        <v>4</v>
      </c>
      <c r="F23" s="207"/>
      <c r="G23" s="208"/>
      <c r="O23" s="95"/>
      <c r="P23" s="96"/>
    </row>
    <row r="24" spans="1:16" s="17" customFormat="1" ht="17" customHeight="1" thickBot="1" x14ac:dyDescent="0.25">
      <c r="A24" s="155"/>
      <c r="B24" s="156"/>
      <c r="C24" s="179"/>
      <c r="D24" s="180"/>
      <c r="E24" s="114"/>
      <c r="F24" s="207"/>
      <c r="G24" s="208"/>
      <c r="O24" s="95"/>
      <c r="P24" s="96"/>
    </row>
    <row r="25" spans="1:16" s="17" customFormat="1" ht="17" customHeight="1" thickBot="1" x14ac:dyDescent="0.2">
      <c r="A25" s="157" t="s">
        <v>90</v>
      </c>
      <c r="B25" s="158"/>
      <c r="C25" s="211">
        <f>IFERROR('Takeoff Distance Calculation'!D50, "Outside Limits")</f>
        <v>1097.6183737704916</v>
      </c>
      <c r="D25" s="212"/>
      <c r="E25" s="159">
        <f>IF(ISNUMBER(C25), 'Takeoff Distance Calculation'!C50, "")</f>
        <v>334.77360399999998</v>
      </c>
      <c r="F25" s="209"/>
      <c r="G25" s="210"/>
      <c r="O25" s="95"/>
      <c r="P25" s="96"/>
    </row>
    <row r="26" spans="1:16" s="17" customFormat="1" ht="14" customHeight="1" x14ac:dyDescent="0.15">
      <c r="A26" s="112"/>
      <c r="C26" s="113"/>
      <c r="D26" s="114"/>
      <c r="E26" s="113"/>
      <c r="O26" s="95"/>
      <c r="P26" s="96"/>
    </row>
    <row r="27" spans="1:16" s="17" customFormat="1" ht="14" customHeight="1" thickBot="1" x14ac:dyDescent="0.2">
      <c r="A27" s="112"/>
      <c r="C27" s="113"/>
      <c r="D27" s="114"/>
      <c r="E27" s="113"/>
      <c r="O27" s="95"/>
      <c r="P27" s="96"/>
    </row>
    <row r="28" spans="1:16" s="17" customFormat="1" ht="14" customHeight="1" thickBot="1" x14ac:dyDescent="0.2">
      <c r="A28" s="88" t="s">
        <v>91</v>
      </c>
      <c r="B28" s="197" t="s">
        <v>42</v>
      </c>
      <c r="C28" s="197"/>
      <c r="D28" s="197">
        <v>0</v>
      </c>
      <c r="E28" s="197"/>
      <c r="F28" s="197"/>
      <c r="G28" s="89"/>
      <c r="H28" s="89"/>
      <c r="I28" s="194" t="s">
        <v>45</v>
      </c>
      <c r="J28" s="195"/>
      <c r="K28" s="195"/>
      <c r="L28" s="195"/>
      <c r="M28" s="195"/>
      <c r="N28" s="195"/>
      <c r="O28" s="196"/>
      <c r="P28" s="96"/>
    </row>
    <row r="29" spans="1:16" x14ac:dyDescent="0.2">
      <c r="D29" s="87"/>
    </row>
    <row r="30" spans="1:16" x14ac:dyDescent="0.2">
      <c r="D30" s="87"/>
      <c r="F30" s="91"/>
      <c r="G30" s="91"/>
    </row>
    <row r="31" spans="1:16" x14ac:dyDescent="0.2">
      <c r="D31" s="87"/>
      <c r="K31" s="92"/>
    </row>
    <row r="32" spans="1:16" x14ac:dyDescent="0.2">
      <c r="D32" s="87"/>
    </row>
    <row r="33" spans="1:10" x14ac:dyDescent="0.2">
      <c r="B33" s="90"/>
      <c r="D33" s="87"/>
    </row>
    <row r="34" spans="1:10" x14ac:dyDescent="0.2">
      <c r="B34" s="91"/>
      <c r="D34" s="87"/>
      <c r="J34" s="87"/>
    </row>
    <row r="35" spans="1:10" x14ac:dyDescent="0.2">
      <c r="J35" s="87"/>
    </row>
    <row r="36" spans="1:10" x14ac:dyDescent="0.2">
      <c r="A36" s="90"/>
      <c r="D36" s="87"/>
      <c r="J36" s="87"/>
    </row>
    <row r="37" spans="1:10" x14ac:dyDescent="0.2">
      <c r="A37" s="91"/>
      <c r="D37" s="87"/>
      <c r="J37" s="87"/>
    </row>
    <row r="38" spans="1:10" x14ac:dyDescent="0.2">
      <c r="D38" s="90"/>
      <c r="J38" s="87"/>
    </row>
    <row r="39" spans="1:10" x14ac:dyDescent="0.2">
      <c r="J39" s="87"/>
    </row>
    <row r="40" spans="1:10" x14ac:dyDescent="0.2">
      <c r="D40" s="90"/>
      <c r="J40" s="87"/>
    </row>
    <row r="41" spans="1:10" x14ac:dyDescent="0.2">
      <c r="D41" s="90"/>
      <c r="J41" s="87"/>
    </row>
    <row r="42" spans="1:10" x14ac:dyDescent="0.2">
      <c r="D42" s="90"/>
    </row>
    <row r="43" spans="1:10" x14ac:dyDescent="0.2">
      <c r="D43" s="90"/>
    </row>
    <row r="44" spans="1:10" x14ac:dyDescent="0.2">
      <c r="D44" s="90"/>
    </row>
    <row r="45" spans="1:10" x14ac:dyDescent="0.2">
      <c r="D45" s="90"/>
    </row>
    <row r="46" spans="1:10" x14ac:dyDescent="0.2">
      <c r="D46" s="90"/>
    </row>
    <row r="47" spans="1:10" x14ac:dyDescent="0.2">
      <c r="D47" s="90"/>
      <c r="I47" s="90"/>
      <c r="J47" s="90"/>
    </row>
  </sheetData>
  <sheetProtection algorithmName="SHA-512" hashValue="llcu3WKtqGatNUZ8IpeNbKTDIYJbsXAdXgXnDcU7VapykD87vjD5XrkGE5nNsxpxISUKCKU5VkhOAPOIzq7FKA==" saltValue="Rh4qA4FacOgot53mGaC/Yg==" spinCount="100000" sheet="1" objects="1" scenarios="1"/>
  <mergeCells count="8">
    <mergeCell ref="I28:O28"/>
    <mergeCell ref="B28:F28"/>
    <mergeCell ref="A1:A2"/>
    <mergeCell ref="B1:B2"/>
    <mergeCell ref="B13:C13"/>
    <mergeCell ref="A18:B18"/>
    <mergeCell ref="F19:G25"/>
    <mergeCell ref="C25:D25"/>
  </mergeCells>
  <phoneticPr fontId="0" type="noConversion"/>
  <conditionalFormatting sqref="B9">
    <cfRule type="cellIs" dxfId="1" priority="1" stopIfTrue="1" operator="equal">
      <formula>"Weight iniside Limit"</formula>
    </cfRule>
    <cfRule type="cellIs" dxfId="0" priority="2" stopIfTrue="1" operator="equal">
      <formula>"Weight OUTSIDE Limit"</formula>
    </cfRule>
  </conditionalFormatting>
  <pageMargins left="0.61" right="0.49" top="1.9685039370078701" bottom="1.9685039370078701" header="0" footer="0"/>
  <pageSetup paperSize="9" scale="67" orientation="landscape" r:id="rId1"/>
  <headerFooter alignWithMargins="0"/>
  <ignoredErrors>
    <ignoredError sqref="D9 F9:G9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</xdr:col>
                    <xdr:colOff>50800</xdr:colOff>
                    <xdr:row>3</xdr:row>
                    <xdr:rowOff>38100</xdr:rowOff>
                  </from>
                  <to>
                    <xdr:col>1</xdr:col>
                    <xdr:colOff>1562100</xdr:colOff>
                    <xdr:row>3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Scroll Bar 2">
              <controlPr defaultSize="0" autoPict="0">
                <anchor moveWithCells="1">
                  <from>
                    <xdr:col>1</xdr:col>
                    <xdr:colOff>50800</xdr:colOff>
                    <xdr:row>4</xdr:row>
                    <xdr:rowOff>25400</xdr:rowOff>
                  </from>
                  <to>
                    <xdr:col>1</xdr:col>
                    <xdr:colOff>1562100</xdr:colOff>
                    <xdr:row>4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Scroll Bar 3">
              <controlPr defaultSize="0" autoPict="0">
                <anchor moveWithCells="1">
                  <from>
                    <xdr:col>1</xdr:col>
                    <xdr:colOff>50800</xdr:colOff>
                    <xdr:row>5</xdr:row>
                    <xdr:rowOff>25400</xdr:rowOff>
                  </from>
                  <to>
                    <xdr:col>1</xdr:col>
                    <xdr:colOff>1562100</xdr:colOff>
                    <xdr:row>5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Scroll Bar 4">
              <controlPr defaultSize="0" autoPict="0">
                <anchor moveWithCells="1">
                  <from>
                    <xdr:col>1</xdr:col>
                    <xdr:colOff>50800</xdr:colOff>
                    <xdr:row>6</xdr:row>
                    <xdr:rowOff>38100</xdr:rowOff>
                  </from>
                  <to>
                    <xdr:col>1</xdr:col>
                    <xdr:colOff>1562100</xdr:colOff>
                    <xdr:row>6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Scroll Bar 5">
              <controlPr defaultSize="0" autoPict="0">
                <anchor moveWithCells="1">
                  <from>
                    <xdr:col>1</xdr:col>
                    <xdr:colOff>50800</xdr:colOff>
                    <xdr:row>7</xdr:row>
                    <xdr:rowOff>38100</xdr:rowOff>
                  </from>
                  <to>
                    <xdr:col>1</xdr:col>
                    <xdr:colOff>1562100</xdr:colOff>
                    <xdr:row>7</xdr:row>
                    <xdr:rowOff>215900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Scroll Bar 11">
              <controlPr locked="0" defaultSize="0" autoPict="0">
                <anchor moveWithCells="1">
                  <from>
                    <xdr:col>1</xdr:col>
                    <xdr:colOff>0</xdr:colOff>
                    <xdr:row>18</xdr:row>
                    <xdr:rowOff>12700</xdr:rowOff>
                  </from>
                  <to>
                    <xdr:col>1</xdr:col>
                    <xdr:colOff>1524000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Scroll Bar 12">
              <controlPr locked="0" defaultSize="0" autoPict="0">
                <anchor moveWithCells="1">
                  <from>
                    <xdr:col>1</xdr:col>
                    <xdr:colOff>0</xdr:colOff>
                    <xdr:row>19</xdr:row>
                    <xdr:rowOff>12700</xdr:rowOff>
                  </from>
                  <to>
                    <xdr:col>1</xdr:col>
                    <xdr:colOff>1524000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Scroll Bar 13">
              <controlPr locked="0" defaultSize="0" autoPict="0">
                <anchor moveWithCells="1">
                  <from>
                    <xdr:col>1</xdr:col>
                    <xdr:colOff>0</xdr:colOff>
                    <xdr:row>20</xdr:row>
                    <xdr:rowOff>12700</xdr:rowOff>
                  </from>
                  <to>
                    <xdr:col>1</xdr:col>
                    <xdr:colOff>1524000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Scroll Bar 14">
              <controlPr locked="0" defaultSize="0" autoPict="0">
                <anchor moveWithCells="1">
                  <from>
                    <xdr:col>1</xdr:col>
                    <xdr:colOff>0</xdr:colOff>
                    <xdr:row>21</xdr:row>
                    <xdr:rowOff>12700</xdr:rowOff>
                  </from>
                  <to>
                    <xdr:col>1</xdr:col>
                    <xdr:colOff>1524000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Scroll Bar 15">
              <controlPr locked="0" defaultSize="0" autoPict="0">
                <anchor moveWithCells="1">
                  <from>
                    <xdr:col>1</xdr:col>
                    <xdr:colOff>0</xdr:colOff>
                    <xdr:row>22</xdr:row>
                    <xdr:rowOff>12700</xdr:rowOff>
                  </from>
                  <to>
                    <xdr:col>1</xdr:col>
                    <xdr:colOff>1524000</xdr:colOff>
                    <xdr:row>22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J26"/>
  <sheetViews>
    <sheetView zoomScale="287" workbookViewId="0">
      <selection activeCell="P52" sqref="P52"/>
    </sheetView>
  </sheetViews>
  <sheetFormatPr baseColWidth="10" defaultColWidth="11.5" defaultRowHeight="13" x14ac:dyDescent="0.15"/>
  <cols>
    <col min="1" max="1" width="15.5" customWidth="1"/>
  </cols>
  <sheetData>
    <row r="1" spans="1:10" s="1" customFormat="1" ht="17" thickBot="1" x14ac:dyDescent="0.25">
      <c r="A1" s="1" t="s">
        <v>12</v>
      </c>
    </row>
    <row r="2" spans="1:10" ht="17" thickBot="1" x14ac:dyDescent="0.25">
      <c r="A2" s="7"/>
      <c r="B2" s="8" t="s">
        <v>38</v>
      </c>
      <c r="C2" s="9" t="s">
        <v>40</v>
      </c>
      <c r="D2" s="8" t="s">
        <v>39</v>
      </c>
      <c r="G2" s="1" t="s">
        <v>13</v>
      </c>
    </row>
    <row r="3" spans="1:10" x14ac:dyDescent="0.15">
      <c r="A3" s="21" t="s">
        <v>2</v>
      </c>
      <c r="B3" s="5">
        <v>400</v>
      </c>
      <c r="C3" s="15">
        <f>D3/B3</f>
        <v>0.3</v>
      </c>
      <c r="D3" s="5">
        <v>120</v>
      </c>
      <c r="G3" s="2" t="s">
        <v>14</v>
      </c>
      <c r="H3" s="11">
        <v>0.45359237000000002</v>
      </c>
    </row>
    <row r="4" spans="1:10" x14ac:dyDescent="0.15">
      <c r="A4" s="21" t="s">
        <v>23</v>
      </c>
      <c r="B4" s="5">
        <v>450</v>
      </c>
      <c r="C4" s="15">
        <f>D4/B4</f>
        <v>0.26666666666666666</v>
      </c>
      <c r="D4" s="5">
        <v>120</v>
      </c>
      <c r="G4" s="3" t="s">
        <v>16</v>
      </c>
      <c r="H4" s="12">
        <f>+H5/H3</f>
        <v>6.0086912054539185</v>
      </c>
    </row>
    <row r="5" spans="1:10" x14ac:dyDescent="0.15">
      <c r="A5" s="21" t="s">
        <v>3</v>
      </c>
      <c r="B5" s="5">
        <v>580</v>
      </c>
      <c r="C5" s="15">
        <f t="shared" ref="C5:C9" si="0">D5/B5</f>
        <v>0.27586206896551724</v>
      </c>
      <c r="D5" s="5">
        <v>160</v>
      </c>
      <c r="G5" s="3" t="s">
        <v>18</v>
      </c>
      <c r="H5" s="12">
        <v>2.7254964844799998</v>
      </c>
    </row>
    <row r="6" spans="1:10" x14ac:dyDescent="0.15">
      <c r="A6" s="21" t="s">
        <v>4</v>
      </c>
      <c r="B6" s="5">
        <v>580</v>
      </c>
      <c r="C6" s="15">
        <f t="shared" si="0"/>
        <v>0.58620689655172409</v>
      </c>
      <c r="D6" s="5">
        <v>340</v>
      </c>
      <c r="G6" s="3" t="s">
        <v>20</v>
      </c>
      <c r="H6" s="12">
        <v>0.72</v>
      </c>
    </row>
    <row r="7" spans="1:10" x14ac:dyDescent="0.15">
      <c r="A7" s="21" t="s">
        <v>5</v>
      </c>
      <c r="B7" s="5">
        <v>400</v>
      </c>
      <c r="C7" s="15">
        <f t="shared" si="0"/>
        <v>0.57499999999999996</v>
      </c>
      <c r="D7" s="5">
        <v>230</v>
      </c>
      <c r="G7" s="3" t="s">
        <v>17</v>
      </c>
      <c r="H7" s="12">
        <v>3.7854117839999999</v>
      </c>
    </row>
    <row r="8" spans="1:10" ht="14" thickBot="1" x14ac:dyDescent="0.2">
      <c r="A8" s="191" t="s">
        <v>88</v>
      </c>
      <c r="B8" s="6">
        <f>Input_Output!C9-Input_Output!C4-Input_Output!C5</f>
        <v>411.4</v>
      </c>
      <c r="C8" s="15">
        <f t="shared" si="0"/>
        <v>0.37271511910549349</v>
      </c>
      <c r="D8" s="5">
        <f>Input_Output!E9-Input_Output!E4</f>
        <v>153.33500000000001</v>
      </c>
      <c r="G8" s="4" t="s">
        <v>15</v>
      </c>
      <c r="H8" s="13">
        <v>2.5399999999999999E-2</v>
      </c>
      <c r="J8" s="17"/>
    </row>
    <row r="9" spans="1:10" x14ac:dyDescent="0.15">
      <c r="A9" s="192" t="s">
        <v>89</v>
      </c>
      <c r="B9" s="18">
        <f>Input_Output!C9-Input_Output!C5</f>
        <v>411.4</v>
      </c>
      <c r="C9" s="15">
        <f t="shared" si="0"/>
        <v>0.37271511910549349</v>
      </c>
      <c r="D9" s="5">
        <f>Input_Output!E9-Input_Output!E5</f>
        <v>153.33500000000001</v>
      </c>
      <c r="G9" s="19"/>
      <c r="H9" s="20"/>
      <c r="J9" s="17"/>
    </row>
    <row r="10" spans="1:10" ht="14" thickBot="1" x14ac:dyDescent="0.2">
      <c r="A10" s="22" t="s">
        <v>7</v>
      </c>
      <c r="B10" s="10">
        <f>Input_Output!C9</f>
        <v>411.4</v>
      </c>
      <c r="C10" s="16">
        <f>D10/B10</f>
        <v>0.37271511910549349</v>
      </c>
      <c r="D10" s="5">
        <f>Input_Output!E9</f>
        <v>153.33500000000001</v>
      </c>
    </row>
    <row r="26" spans="2:2" x14ac:dyDescent="0.15">
      <c r="B26" s="14"/>
    </row>
  </sheetData>
  <sheetProtection algorithmName="SHA-512" hashValue="sKzjyoT+/jg9qU4Bs2eNbb3pTN6mOEmt9aXkrQM9fpM41FGXrVmjd9dBLB0OWaKRkobQbL2RfyVYofkTwF9/xw==" saltValue="5wZ6nUI/5BC0Ycacxqq0sg==" spinCount="100000" sheet="1" objects="1" scenarios="1" selectLockedCells="1" selectUnlockedCells="1"/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B31EB-3705-4148-ACF4-36526DEF8270}">
  <dimension ref="A1:AA56"/>
  <sheetViews>
    <sheetView workbookViewId="0">
      <selection sqref="A1:F1"/>
    </sheetView>
  </sheetViews>
  <sheetFormatPr baseColWidth="10" defaultRowHeight="16" x14ac:dyDescent="0.2"/>
  <cols>
    <col min="1" max="1" width="19.5" style="116" bestFit="1" customWidth="1"/>
    <col min="2" max="2" width="12.6640625" style="116" bestFit="1" customWidth="1"/>
    <col min="3" max="3" width="12.5" style="116" bestFit="1" customWidth="1"/>
    <col min="4" max="4" width="10.83203125" style="116"/>
    <col min="5" max="5" width="11.1640625" style="116" bestFit="1" customWidth="1"/>
    <col min="6" max="7" width="10.83203125" style="116"/>
    <col min="8" max="8" width="17.1640625" style="116" bestFit="1" customWidth="1"/>
    <col min="9" max="14" width="10.83203125" style="116"/>
    <col min="15" max="15" width="17.1640625" style="116" bestFit="1" customWidth="1"/>
    <col min="16" max="21" width="10.83203125" style="116"/>
    <col min="22" max="22" width="17.1640625" style="116" customWidth="1"/>
    <col min="23" max="16384" width="10.83203125" style="116"/>
  </cols>
  <sheetData>
    <row r="1" spans="1:27" ht="21" x14ac:dyDescent="0.25">
      <c r="A1" s="213" t="s">
        <v>65</v>
      </c>
      <c r="B1" s="213"/>
      <c r="C1" s="213"/>
      <c r="D1" s="213"/>
      <c r="E1" s="213"/>
      <c r="F1" s="213"/>
      <c r="H1" s="213" t="s">
        <v>66</v>
      </c>
      <c r="I1" s="213"/>
      <c r="J1" s="213"/>
      <c r="K1" s="213"/>
      <c r="L1" s="213"/>
      <c r="M1" s="213"/>
      <c r="O1" s="214" t="s">
        <v>67</v>
      </c>
      <c r="P1" s="214"/>
      <c r="Q1" s="214"/>
      <c r="R1" s="214"/>
      <c r="S1" s="214"/>
      <c r="T1" s="214"/>
      <c r="V1" s="214" t="s">
        <v>68</v>
      </c>
      <c r="W1" s="214"/>
      <c r="X1" s="214"/>
      <c r="Y1" s="214"/>
      <c r="Z1" s="214"/>
      <c r="AA1" s="214"/>
    </row>
    <row r="2" spans="1:27" ht="17" thickBot="1" x14ac:dyDescent="0.25">
      <c r="O2" s="117"/>
      <c r="P2" s="117"/>
      <c r="Q2" s="117"/>
      <c r="R2" s="117"/>
      <c r="S2" s="117"/>
      <c r="T2" s="117"/>
      <c r="V2" s="117"/>
      <c r="W2" s="117"/>
      <c r="X2" s="117"/>
      <c r="Y2" s="117"/>
      <c r="Z2" s="117"/>
      <c r="AA2" s="117"/>
    </row>
    <row r="3" spans="1:27" x14ac:dyDescent="0.2">
      <c r="A3" s="118"/>
      <c r="B3" s="160">
        <v>-8</v>
      </c>
      <c r="C3" s="160">
        <v>-4</v>
      </c>
      <c r="D3" s="160">
        <v>0</v>
      </c>
      <c r="E3" s="160">
        <v>4</v>
      </c>
      <c r="F3" s="161">
        <v>8</v>
      </c>
      <c r="H3" s="118"/>
      <c r="I3" s="160">
        <v>-8</v>
      </c>
      <c r="J3" s="160">
        <v>-4</v>
      </c>
      <c r="K3" s="160">
        <v>0</v>
      </c>
      <c r="L3" s="160">
        <v>4</v>
      </c>
      <c r="M3" s="161">
        <v>8</v>
      </c>
      <c r="O3" s="119"/>
      <c r="P3" s="160">
        <v>-8</v>
      </c>
      <c r="Q3" s="160">
        <v>-4</v>
      </c>
      <c r="R3" s="160">
        <v>0</v>
      </c>
      <c r="S3" s="160">
        <v>4</v>
      </c>
      <c r="T3" s="161">
        <v>8</v>
      </c>
      <c r="V3" s="119"/>
      <c r="W3" s="160">
        <v>-8</v>
      </c>
      <c r="X3" s="160">
        <v>-4</v>
      </c>
      <c r="Y3" s="160">
        <v>0</v>
      </c>
      <c r="Z3" s="160">
        <v>4</v>
      </c>
      <c r="AA3" s="161">
        <v>8</v>
      </c>
    </row>
    <row r="4" spans="1:27" ht="17" thickBot="1" x14ac:dyDescent="0.25">
      <c r="A4" s="120" t="s">
        <v>79</v>
      </c>
      <c r="B4" s="121" t="s">
        <v>69</v>
      </c>
      <c r="C4" s="121" t="s">
        <v>69</v>
      </c>
      <c r="D4" s="121" t="s">
        <v>69</v>
      </c>
      <c r="E4" s="121" t="s">
        <v>69</v>
      </c>
      <c r="F4" s="122" t="s">
        <v>69</v>
      </c>
      <c r="H4" s="120" t="s">
        <v>79</v>
      </c>
      <c r="I4" s="121" t="s">
        <v>69</v>
      </c>
      <c r="J4" s="121" t="s">
        <v>69</v>
      </c>
      <c r="K4" s="121" t="s">
        <v>69</v>
      </c>
      <c r="L4" s="121" t="s">
        <v>69</v>
      </c>
      <c r="M4" s="122" t="s">
        <v>69</v>
      </c>
      <c r="O4" s="120" t="s">
        <v>79</v>
      </c>
      <c r="P4" s="121" t="s">
        <v>69</v>
      </c>
      <c r="Q4" s="121" t="s">
        <v>69</v>
      </c>
      <c r="R4" s="121" t="s">
        <v>69</v>
      </c>
      <c r="S4" s="121" t="s">
        <v>69</v>
      </c>
      <c r="T4" s="122" t="s">
        <v>69</v>
      </c>
      <c r="V4" s="120" t="s">
        <v>79</v>
      </c>
      <c r="W4" s="121" t="s">
        <v>69</v>
      </c>
      <c r="X4" s="121" t="s">
        <v>69</v>
      </c>
      <c r="Y4" s="121" t="s">
        <v>69</v>
      </c>
      <c r="Z4" s="121" t="s">
        <v>69</v>
      </c>
      <c r="AA4" s="122" t="s">
        <v>69</v>
      </c>
    </row>
    <row r="5" spans="1:27" x14ac:dyDescent="0.2">
      <c r="A5" s="123">
        <v>0</v>
      </c>
      <c r="B5" s="124">
        <v>570</v>
      </c>
      <c r="C5" s="124">
        <v>485</v>
      </c>
      <c r="D5" s="124">
        <v>420</v>
      </c>
      <c r="E5" s="124">
        <v>365</v>
      </c>
      <c r="F5" s="125">
        <v>320</v>
      </c>
      <c r="H5" s="123">
        <v>0</v>
      </c>
      <c r="I5" s="124">
        <v>460</v>
      </c>
      <c r="J5" s="124">
        <v>390</v>
      </c>
      <c r="K5" s="124">
        <v>340</v>
      </c>
      <c r="L5" s="124">
        <v>295</v>
      </c>
      <c r="M5" s="125">
        <v>260</v>
      </c>
      <c r="O5" s="123">
        <v>0</v>
      </c>
      <c r="P5" s="126">
        <v>405</v>
      </c>
      <c r="Q5" s="126">
        <v>345</v>
      </c>
      <c r="R5" s="126">
        <v>300</v>
      </c>
      <c r="S5" s="126">
        <v>260</v>
      </c>
      <c r="T5" s="127">
        <v>230</v>
      </c>
      <c r="V5" s="123">
        <v>0</v>
      </c>
      <c r="W5" s="126">
        <v>360</v>
      </c>
      <c r="X5" s="126">
        <v>305</v>
      </c>
      <c r="Y5" s="126">
        <v>285</v>
      </c>
      <c r="Z5" s="126">
        <v>230</v>
      </c>
      <c r="AA5" s="127">
        <v>205</v>
      </c>
    </row>
    <row r="6" spans="1:27" x14ac:dyDescent="0.2">
      <c r="A6" s="128">
        <v>500</v>
      </c>
      <c r="B6" s="129">
        <v>645</v>
      </c>
      <c r="C6" s="129">
        <v>545</v>
      </c>
      <c r="D6" s="129">
        <v>475</v>
      </c>
      <c r="E6" s="129">
        <v>415</v>
      </c>
      <c r="F6" s="130">
        <v>365</v>
      </c>
      <c r="H6" s="128">
        <v>500</v>
      </c>
      <c r="I6" s="129">
        <v>515</v>
      </c>
      <c r="J6" s="129">
        <v>435</v>
      </c>
      <c r="K6" s="129">
        <v>380</v>
      </c>
      <c r="L6" s="129">
        <v>380</v>
      </c>
      <c r="M6" s="130">
        <v>290</v>
      </c>
      <c r="O6" s="128">
        <v>500</v>
      </c>
      <c r="P6" s="126">
        <v>460</v>
      </c>
      <c r="Q6" s="126">
        <v>390</v>
      </c>
      <c r="R6" s="126">
        <v>340</v>
      </c>
      <c r="S6" s="126">
        <v>295</v>
      </c>
      <c r="T6" s="127">
        <v>260</v>
      </c>
      <c r="V6" s="128">
        <v>500</v>
      </c>
      <c r="W6" s="126">
        <v>400</v>
      </c>
      <c r="X6" s="126">
        <v>340</v>
      </c>
      <c r="Y6" s="126">
        <v>295</v>
      </c>
      <c r="Z6" s="126">
        <v>260</v>
      </c>
      <c r="AA6" s="127">
        <v>225</v>
      </c>
    </row>
    <row r="7" spans="1:27" x14ac:dyDescent="0.2">
      <c r="A7" s="128">
        <v>1000</v>
      </c>
      <c r="B7" s="129">
        <v>720</v>
      </c>
      <c r="C7" s="129">
        <v>610</v>
      </c>
      <c r="D7" s="129">
        <v>530</v>
      </c>
      <c r="E7" s="129">
        <v>465</v>
      </c>
      <c r="F7" s="130">
        <v>405</v>
      </c>
      <c r="H7" s="128">
        <v>1000</v>
      </c>
      <c r="I7" s="129">
        <v>580</v>
      </c>
      <c r="J7" s="129">
        <v>495</v>
      </c>
      <c r="K7" s="129">
        <v>430</v>
      </c>
      <c r="L7" s="129">
        <v>375</v>
      </c>
      <c r="M7" s="130">
        <v>330</v>
      </c>
      <c r="O7" s="128">
        <v>1000</v>
      </c>
      <c r="P7" s="126">
        <v>515</v>
      </c>
      <c r="Q7" s="126">
        <v>435</v>
      </c>
      <c r="R7" s="126">
        <v>380</v>
      </c>
      <c r="S7" s="126">
        <v>330</v>
      </c>
      <c r="T7" s="127">
        <v>290</v>
      </c>
      <c r="V7" s="128">
        <v>1000</v>
      </c>
      <c r="W7" s="126">
        <v>455</v>
      </c>
      <c r="X7" s="126">
        <v>385</v>
      </c>
      <c r="Y7" s="126">
        <v>335</v>
      </c>
      <c r="Z7" s="126">
        <v>290</v>
      </c>
      <c r="AA7" s="127">
        <v>255</v>
      </c>
    </row>
    <row r="8" spans="1:27" x14ac:dyDescent="0.2">
      <c r="A8" s="128">
        <v>1500</v>
      </c>
      <c r="B8" s="129">
        <v>815</v>
      </c>
      <c r="C8" s="129">
        <v>690</v>
      </c>
      <c r="D8" s="129">
        <v>600</v>
      </c>
      <c r="E8" s="129">
        <v>525</v>
      </c>
      <c r="F8" s="130">
        <v>460</v>
      </c>
      <c r="H8" s="128">
        <v>1500</v>
      </c>
      <c r="I8" s="129">
        <v>660</v>
      </c>
      <c r="J8" s="129">
        <v>560</v>
      </c>
      <c r="K8" s="129">
        <v>485</v>
      </c>
      <c r="L8" s="129">
        <v>425</v>
      </c>
      <c r="M8" s="130">
        <v>370</v>
      </c>
      <c r="O8" s="128">
        <v>1500</v>
      </c>
      <c r="P8" s="126">
        <v>580</v>
      </c>
      <c r="Q8" s="126">
        <v>495</v>
      </c>
      <c r="R8" s="126">
        <v>430</v>
      </c>
      <c r="S8" s="126">
        <v>375</v>
      </c>
      <c r="T8" s="127">
        <v>330</v>
      </c>
      <c r="V8" s="128">
        <v>1500</v>
      </c>
      <c r="W8" s="126">
        <v>515</v>
      </c>
      <c r="X8" s="126">
        <v>435</v>
      </c>
      <c r="Y8" s="126">
        <v>380</v>
      </c>
      <c r="Z8" s="126">
        <v>330</v>
      </c>
      <c r="AA8" s="127">
        <v>290</v>
      </c>
    </row>
    <row r="9" spans="1:27" x14ac:dyDescent="0.2">
      <c r="A9" s="128">
        <v>2000</v>
      </c>
      <c r="B9" s="129">
        <v>920</v>
      </c>
      <c r="C9" s="129">
        <v>780</v>
      </c>
      <c r="D9" s="129">
        <v>680</v>
      </c>
      <c r="E9" s="129">
        <v>595</v>
      </c>
      <c r="F9" s="130">
        <v>520</v>
      </c>
      <c r="H9" s="128">
        <v>2000</v>
      </c>
      <c r="I9" s="129">
        <v>745</v>
      </c>
      <c r="J9" s="129">
        <v>635</v>
      </c>
      <c r="K9" s="129">
        <v>550</v>
      </c>
      <c r="L9" s="129">
        <v>480</v>
      </c>
      <c r="M9" s="130">
        <v>420</v>
      </c>
      <c r="O9" s="128">
        <v>2000</v>
      </c>
      <c r="P9" s="126">
        <v>665</v>
      </c>
      <c r="Q9" s="126">
        <v>565</v>
      </c>
      <c r="R9" s="126">
        <v>490</v>
      </c>
      <c r="S9" s="126">
        <v>425</v>
      </c>
      <c r="T9" s="127">
        <v>375</v>
      </c>
      <c r="V9" s="128">
        <v>2000</v>
      </c>
      <c r="W9" s="126">
        <v>580</v>
      </c>
      <c r="X9" s="126">
        <v>495</v>
      </c>
      <c r="Y9" s="126">
        <v>430</v>
      </c>
      <c r="Z9" s="126">
        <v>375</v>
      </c>
      <c r="AA9" s="127">
        <v>330</v>
      </c>
    </row>
    <row r="10" spans="1:27" ht="17" thickBot="1" x14ac:dyDescent="0.25">
      <c r="A10" s="131">
        <v>2500</v>
      </c>
      <c r="B10" s="132">
        <v>1060</v>
      </c>
      <c r="C10" s="132">
        <v>895</v>
      </c>
      <c r="D10" s="132">
        <v>780</v>
      </c>
      <c r="E10" s="132">
        <v>680</v>
      </c>
      <c r="F10" s="133">
        <v>595</v>
      </c>
      <c r="H10" s="131">
        <v>2500</v>
      </c>
      <c r="I10" s="132">
        <v>860</v>
      </c>
      <c r="J10" s="132">
        <v>730</v>
      </c>
      <c r="K10" s="132">
        <v>635</v>
      </c>
      <c r="L10" s="132">
        <v>555</v>
      </c>
      <c r="M10" s="133">
        <v>485</v>
      </c>
      <c r="O10" s="131">
        <v>2500</v>
      </c>
      <c r="P10" s="162">
        <v>760</v>
      </c>
      <c r="Q10" s="162">
        <v>645</v>
      </c>
      <c r="R10" s="162">
        <v>560</v>
      </c>
      <c r="S10" s="162">
        <v>490</v>
      </c>
      <c r="T10" s="163">
        <v>430</v>
      </c>
      <c r="V10" s="131">
        <v>2500</v>
      </c>
      <c r="W10" s="162">
        <v>670</v>
      </c>
      <c r="X10" s="162">
        <v>570</v>
      </c>
      <c r="Y10" s="162">
        <v>495</v>
      </c>
      <c r="Z10" s="162">
        <v>435</v>
      </c>
      <c r="AA10" s="163">
        <v>380</v>
      </c>
    </row>
    <row r="11" spans="1:27" ht="17" thickBot="1" x14ac:dyDescent="0.25"/>
    <row r="12" spans="1:27" x14ac:dyDescent="0.2">
      <c r="A12" s="164" t="s">
        <v>48</v>
      </c>
      <c r="B12" s="165"/>
      <c r="C12" s="165"/>
      <c r="D12" s="165"/>
      <c r="E12" s="165"/>
      <c r="F12" s="166"/>
    </row>
    <row r="13" spans="1:27" x14ac:dyDescent="0.2">
      <c r="A13" s="167" t="s">
        <v>49</v>
      </c>
      <c r="B13" s="168">
        <f>Input_Output!C19</f>
        <v>2146</v>
      </c>
      <c r="C13" s="169">
        <f>B13*0.305</f>
        <v>654.53</v>
      </c>
      <c r="D13" s="172"/>
      <c r="E13" s="172"/>
      <c r="F13" s="170"/>
    </row>
    <row r="14" spans="1:27" x14ac:dyDescent="0.2">
      <c r="A14" s="167" t="s">
        <v>50</v>
      </c>
      <c r="B14" s="171">
        <f>Input_Output!C20</f>
        <v>1013</v>
      </c>
      <c r="C14" s="190">
        <f>C13+(1013.25-B14)*27*0.305</f>
        <v>656.58875</v>
      </c>
      <c r="D14" s="168">
        <f>C14/0.305</f>
        <v>2152.75</v>
      </c>
      <c r="E14" s="172"/>
      <c r="F14" s="170"/>
    </row>
    <row r="15" spans="1:27" x14ac:dyDescent="0.2">
      <c r="A15" s="167" t="s">
        <v>51</v>
      </c>
      <c r="B15" s="189">
        <f>Input_Output!C21</f>
        <v>20</v>
      </c>
      <c r="C15" s="188">
        <f>15-2*D14/1000</f>
        <v>10.6945</v>
      </c>
      <c r="D15" s="183">
        <f>(B15-C15)*120*0.305</f>
        <v>340.5813</v>
      </c>
      <c r="E15" s="169">
        <f>C14+D15</f>
        <v>997.17004999999995</v>
      </c>
      <c r="F15" s="184">
        <f>E15/0.305</f>
        <v>3269.41</v>
      </c>
    </row>
    <row r="16" spans="1:27" x14ac:dyDescent="0.2">
      <c r="A16" s="167" t="s">
        <v>52</v>
      </c>
      <c r="B16" s="173">
        <f>Input_Output!C22</f>
        <v>0</v>
      </c>
      <c r="C16" s="172" t="str">
        <f>IF(B16=0, "(Calm)", IF(B16&lt;0, "(Tailwind)", "(Headwind)"))</f>
        <v>(Calm)</v>
      </c>
      <c r="D16" s="172"/>
      <c r="E16" s="172"/>
      <c r="F16" s="170"/>
    </row>
    <row r="17" spans="1:24" x14ac:dyDescent="0.2">
      <c r="A17" s="167" t="s">
        <v>53</v>
      </c>
      <c r="B17" s="174">
        <f>Input_Output!C23</f>
        <v>0</v>
      </c>
      <c r="C17" s="172">
        <f>MATCH(B17,A53:A56,0 )</f>
        <v>2</v>
      </c>
      <c r="D17" s="185" t="str" cm="1">
        <f t="array" ref="D17">INDEX(B53:B56, C17)</f>
        <v>Grass</v>
      </c>
      <c r="E17" s="172"/>
      <c r="F17" s="170"/>
    </row>
    <row r="18" spans="1:24" ht="17" thickBot="1" x14ac:dyDescent="0.25">
      <c r="A18" s="175" t="s">
        <v>54</v>
      </c>
      <c r="B18" s="176">
        <f>Input_Output!C9</f>
        <v>411.4</v>
      </c>
      <c r="C18" s="176">
        <f>IF(B18&lt;A37,A37,B18)</f>
        <v>450</v>
      </c>
      <c r="D18" s="176">
        <f>IF(AND((C18&gt;550),(C18&lt;=Input_Output!C10)),550,C18)</f>
        <v>450</v>
      </c>
      <c r="E18" s="186"/>
      <c r="F18" s="187"/>
    </row>
    <row r="20" spans="1:24" x14ac:dyDescent="0.2">
      <c r="A20" s="134" t="s">
        <v>55</v>
      </c>
    </row>
    <row r="21" spans="1:24" x14ac:dyDescent="0.2">
      <c r="A21" s="116" t="s">
        <v>86</v>
      </c>
      <c r="B21" s="116">
        <f>MATCH(E15,A5:A10,1)</f>
        <v>2</v>
      </c>
      <c r="I21" s="116">
        <f>MATCH(E15,H5:H10,1)</f>
        <v>2</v>
      </c>
      <c r="P21" s="116">
        <f>MATCH(E15,O5:O10,1)</f>
        <v>2</v>
      </c>
      <c r="W21" s="116">
        <f>MATCH(E15,V5:V10,1)</f>
        <v>2</v>
      </c>
    </row>
    <row r="22" spans="1:24" x14ac:dyDescent="0.2">
      <c r="A22" s="116" t="s">
        <v>87</v>
      </c>
      <c r="B22" s="116">
        <f>_xlfn.IFNA(C22,B21+1)</f>
        <v>3</v>
      </c>
      <c r="C22" s="116" t="e">
        <f>MATCH(E15,A5:A10,0)</f>
        <v>#N/A</v>
      </c>
      <c r="I22" s="116">
        <f>I21+1</f>
        <v>3</v>
      </c>
      <c r="P22" s="116">
        <f>P21+1</f>
        <v>3</v>
      </c>
      <c r="W22" s="116">
        <f>W21+1</f>
        <v>3</v>
      </c>
    </row>
    <row r="23" spans="1:24" x14ac:dyDescent="0.2">
      <c r="A23" s="116" t="s">
        <v>70</v>
      </c>
      <c r="B23" s="116">
        <f>MATCH($B16,B3:F3,1)</f>
        <v>3</v>
      </c>
      <c r="I23" s="116">
        <f>MATCH($B16,I3:M3,1)</f>
        <v>3</v>
      </c>
      <c r="P23" s="116">
        <f>MATCH($B16,P3:T3,1)</f>
        <v>3</v>
      </c>
      <c r="W23" s="116">
        <f>MATCH($B16,W3:AA3,1)</f>
        <v>3</v>
      </c>
    </row>
    <row r="24" spans="1:24" x14ac:dyDescent="0.2">
      <c r="A24" s="116" t="s">
        <v>71</v>
      </c>
      <c r="B24" s="116">
        <f>_xlfn.IFNA(C24,B23+1)</f>
        <v>3</v>
      </c>
      <c r="C24" s="116">
        <f>MATCH($B$16,B3:F3,0)</f>
        <v>3</v>
      </c>
      <c r="I24" s="116">
        <f>_xlfn.IFNA(J24,I23+1)</f>
        <v>3</v>
      </c>
      <c r="J24" s="116">
        <f>MATCH($B16,I3:M3,0)</f>
        <v>3</v>
      </c>
      <c r="P24" s="116">
        <f>_xlfn.IFNA(Q24,P23+1)</f>
        <v>3</v>
      </c>
      <c r="Q24" s="116">
        <f>MATCH($B16,P3:T3,0)</f>
        <v>3</v>
      </c>
      <c r="W24" s="116">
        <f>_xlfn.IFNA(X24,W23+1)</f>
        <v>3</v>
      </c>
      <c r="X24" s="116">
        <f>MATCH($B16,W3:AA3,0)</f>
        <v>3</v>
      </c>
    </row>
    <row r="26" spans="1:24" x14ac:dyDescent="0.2">
      <c r="A26" s="116" t="s">
        <v>80</v>
      </c>
      <c r="B26" s="135" cm="1">
        <f t="array" ref="B26">INDEX(B5:F10,B21,B23)</f>
        <v>475</v>
      </c>
      <c r="C26" s="135"/>
      <c r="I26" s="135" cm="1">
        <f t="array" ref="I26">INDEX(I5:M10,I21,I23)</f>
        <v>380</v>
      </c>
      <c r="P26" s="135" cm="1">
        <f t="array" ref="P26">INDEX(P5:T10,P21,P23)</f>
        <v>340</v>
      </c>
      <c r="W26" s="135" cm="1">
        <f t="array" ref="W26">INDEX(W5:AA10,W21,W23)</f>
        <v>295</v>
      </c>
    </row>
    <row r="27" spans="1:24" x14ac:dyDescent="0.2">
      <c r="A27" s="116" t="s">
        <v>81</v>
      </c>
      <c r="B27" s="135" cm="1">
        <f t="array" ref="B27">INDEX(B5:F10,B21,B24)</f>
        <v>475</v>
      </c>
      <c r="C27" s="135"/>
      <c r="I27" s="135" cm="1">
        <f t="array" ref="I27">INDEX(I5:M10,I21,I24)</f>
        <v>380</v>
      </c>
      <c r="P27" s="135" cm="1">
        <f t="array" ref="P27">INDEX(P5:T10,P21,P24)</f>
        <v>340</v>
      </c>
      <c r="W27" s="135" cm="1">
        <f t="array" ref="W27">INDEX(W5:AA10,W21,W24)</f>
        <v>295</v>
      </c>
    </row>
    <row r="28" spans="1:24" x14ac:dyDescent="0.2">
      <c r="A28" s="116" t="s">
        <v>82</v>
      </c>
      <c r="B28" s="135" cm="1">
        <f t="array" ref="B28">INDEX(B5:F10,B22,B23)</f>
        <v>530</v>
      </c>
      <c r="C28" s="135"/>
      <c r="I28" s="135" cm="1">
        <f t="array" ref="I28">INDEX(I5:M10,I22,I23)</f>
        <v>430</v>
      </c>
      <c r="P28" s="135" cm="1">
        <f t="array" ref="P28">INDEX(P5:T10,P22,P23)</f>
        <v>380</v>
      </c>
      <c r="W28" s="135" cm="1">
        <f t="array" ref="W28">INDEX(W5:AA10,W22,W23)</f>
        <v>335</v>
      </c>
    </row>
    <row r="29" spans="1:24" x14ac:dyDescent="0.2">
      <c r="A29" s="116" t="s">
        <v>83</v>
      </c>
      <c r="B29" s="135" cm="1">
        <f t="array" ref="B29">INDEX(B5:F10,B22,B24)</f>
        <v>530</v>
      </c>
      <c r="C29" s="135"/>
      <c r="I29" s="135" cm="1">
        <f t="array" ref="I29">INDEX(I5:M10,I22,I24)</f>
        <v>430</v>
      </c>
      <c r="P29" s="135" cm="1">
        <f t="array" ref="P29">INDEX(P5:T10,P22,P24)</f>
        <v>380</v>
      </c>
      <c r="W29" s="135" cm="1">
        <f t="array" ref="W29">INDEX(W5:AA10,W22,W24)</f>
        <v>335</v>
      </c>
    </row>
    <row r="30" spans="1:24" x14ac:dyDescent="0.2">
      <c r="P30" s="117"/>
      <c r="Q30" s="117"/>
    </row>
    <row r="31" spans="1:24" x14ac:dyDescent="0.2">
      <c r="A31" s="134" t="s">
        <v>56</v>
      </c>
      <c r="P31" s="117"/>
      <c r="Q31" s="117"/>
    </row>
    <row r="32" spans="1:24" x14ac:dyDescent="0.2">
      <c r="A32" s="116" t="s">
        <v>84</v>
      </c>
      <c r="B32" s="178">
        <f>IF(B26=B27, B27,_xlfn.FORECAST.LINEAR(B16,B26:B27,INDEX(B3:F3,1,B23):INDEX(B3:F3,1,B24)))</f>
        <v>475</v>
      </c>
      <c r="C32" s="135"/>
      <c r="I32" s="178">
        <f>IF(I26=I27, I27,_xlfn.FORECAST.LINEAR(B16,I26:I27,INDEX(I3:M3,1,I23):INDEX(I3:M3,1,I24)))</f>
        <v>380</v>
      </c>
      <c r="P32" s="178">
        <f>IF(P26=P27, P27,_xlfn.FORECAST.LINEAR(B16,P26:P27,INDEX(P3:T3,1,P23):INDEX(P3:T3,1,P24)))</f>
        <v>340</v>
      </c>
      <c r="Q32" s="117"/>
      <c r="W32" s="178">
        <f>IF(W26=W27, W27,_xlfn.FORECAST.LINEAR(B16,W26:W27,INDEX(W3:AA3,1,W23):INDEX(W3:AA3,1,W24)))</f>
        <v>295</v>
      </c>
    </row>
    <row r="33" spans="1:23" x14ac:dyDescent="0.2">
      <c r="A33" s="116" t="s">
        <v>85</v>
      </c>
      <c r="B33" s="178">
        <f>IF(B28=B29,B29,_xlfn.FORECAST.LINEAR(B16,B28:B29,INDEX(B3:F3,1,B23):INDEX(B3:F3,1,B24)))</f>
        <v>530</v>
      </c>
      <c r="C33" s="135"/>
      <c r="I33" s="178">
        <f>IF(I28=I29,I29,_xlfn.FORECAST.LINEAR(B16,I28:I29,INDEX(I3:M3,1,I23):INDEX(I3:M3,1,I24)))</f>
        <v>430</v>
      </c>
      <c r="P33" s="178">
        <f>IF(P28=P29,P29,_xlfn.FORECAST.LINEAR(B16,P28:P29,INDEX(P3:T3,1,P23):INDEX(P3:T3,1,P24)))</f>
        <v>380</v>
      </c>
      <c r="Q33" s="117"/>
      <c r="W33" s="178">
        <f>IF(W28=W29,W29,_xlfn.FORECAST.LINEAR(B16,W28:W29,INDEX(W3:AA3,1,W23):INDEX(W3:AA3,1,W24)))</f>
        <v>335</v>
      </c>
    </row>
    <row r="34" spans="1:23" x14ac:dyDescent="0.2">
      <c r="A34" s="116" t="s">
        <v>72</v>
      </c>
      <c r="B34" s="178">
        <f>IF(B32=B33,B33,_xlfn.FORECAST.LINEAR(E15,B32:B33,INDEX(A5:A10,B21):INDEX(A5:A10,B22)))</f>
        <v>529.68870549999997</v>
      </c>
      <c r="C34" s="135"/>
      <c r="I34" s="178">
        <f>_xlfn.FORECAST.LINEAR(E15,I32:I33,INDEX(H5:H10,I21):INDEX(H5:H10,I22))</f>
        <v>429.71700499999997</v>
      </c>
      <c r="P34" s="178">
        <f>_xlfn.FORECAST.LINEAR(E15,P32:P33,INDEX(O5:O10,P21):INDEX(O5:O10,P22))</f>
        <v>379.77360399999998</v>
      </c>
      <c r="Q34" s="117"/>
      <c r="W34" s="178">
        <f>_xlfn.FORECAST.LINEAR(E15,W32:W33,INDEX(V5:V10,W21):INDEX(V5:V10,W22))</f>
        <v>334.77360399999998</v>
      </c>
    </row>
    <row r="36" spans="1:23" x14ac:dyDescent="0.2">
      <c r="A36" s="134" t="s">
        <v>73</v>
      </c>
    </row>
    <row r="37" spans="1:23" x14ac:dyDescent="0.2">
      <c r="A37" s="177">
        <v>450</v>
      </c>
      <c r="B37" s="178">
        <f>W34</f>
        <v>334.77360399999998</v>
      </c>
      <c r="C37" s="135"/>
    </row>
    <row r="38" spans="1:23" x14ac:dyDescent="0.2">
      <c r="A38" s="177">
        <v>475</v>
      </c>
      <c r="B38" s="178">
        <f>P34</f>
        <v>379.77360399999998</v>
      </c>
      <c r="C38" s="135"/>
    </row>
    <row r="39" spans="1:23" x14ac:dyDescent="0.2">
      <c r="A39" s="177">
        <v>500</v>
      </c>
      <c r="B39" s="178">
        <f>I34</f>
        <v>429.71700499999997</v>
      </c>
      <c r="C39" s="135"/>
    </row>
    <row r="40" spans="1:23" x14ac:dyDescent="0.2">
      <c r="A40" s="177">
        <v>550</v>
      </c>
      <c r="B40" s="178">
        <f>B34</f>
        <v>529.68870549999997</v>
      </c>
      <c r="C40" s="135"/>
    </row>
    <row r="42" spans="1:23" x14ac:dyDescent="0.2">
      <c r="A42" s="136" t="str">
        <f>"T/O Distance for " &amp; B18 &amp; " kg"</f>
        <v>T/O Distance for 411.4 kg</v>
      </c>
    </row>
    <row r="43" spans="1:23" x14ac:dyDescent="0.2">
      <c r="A43" s="116" t="s">
        <v>58</v>
      </c>
      <c r="B43" s="116">
        <f>MATCH(C18,A37:A40,1)</f>
        <v>1</v>
      </c>
    </row>
    <row r="44" spans="1:23" x14ac:dyDescent="0.2">
      <c r="A44" s="116" t="s">
        <v>59</v>
      </c>
      <c r="B44" s="116">
        <f>_xlfn.IFNA(C44, B43+1)</f>
        <v>1</v>
      </c>
      <c r="C44" s="116">
        <f>MATCH(D18,A37:A40,0)</f>
        <v>1</v>
      </c>
    </row>
    <row r="45" spans="1:23" x14ac:dyDescent="0.2">
      <c r="A45" s="116" t="s">
        <v>57</v>
      </c>
      <c r="B45" s="135" cm="1">
        <f t="array" ref="B45">IF(B43=B44,INDEX(B37:B40,B44),_xlfn.FORECAST.LINEAR(C18,INDEX(B37:B40,B43):INDEX(B37:B40,B44),INDEX(A37:A40,B43):INDEX(A37:A40,B44)))</f>
        <v>334.77360399999998</v>
      </c>
    </row>
    <row r="47" spans="1:23" x14ac:dyDescent="0.2">
      <c r="A47" s="134" t="s">
        <v>60</v>
      </c>
    </row>
    <row r="48" spans="1:23" x14ac:dyDescent="0.2">
      <c r="A48" s="116" t="s">
        <v>61</v>
      </c>
      <c r="B48" s="116">
        <f>ABS(0.1*MIN(0, B16/2))</f>
        <v>0</v>
      </c>
    </row>
    <row r="49" spans="1:4" x14ac:dyDescent="0.2">
      <c r="A49" s="116" t="s">
        <v>62</v>
      </c>
      <c r="B49" s="116">
        <f>0.1*MAX(0, B16/9)</f>
        <v>0</v>
      </c>
    </row>
    <row r="50" spans="1:4" s="134" customFormat="1" x14ac:dyDescent="0.2">
      <c r="A50" s="134" t="s">
        <v>57</v>
      </c>
      <c r="B50" s="138">
        <f>B45*(1-B49)*(1+B48)</f>
        <v>334.77360399999998</v>
      </c>
      <c r="C50" s="138">
        <f>B50*(1+B17)</f>
        <v>334.77360399999998</v>
      </c>
      <c r="D50" s="137">
        <f>C50/0.305</f>
        <v>1097.6183737704916</v>
      </c>
    </row>
    <row r="52" spans="1:4" x14ac:dyDescent="0.2">
      <c r="A52" s="134" t="s">
        <v>74</v>
      </c>
    </row>
    <row r="53" spans="1:4" x14ac:dyDescent="0.2">
      <c r="A53" s="181">
        <v>-0.04</v>
      </c>
      <c r="B53" s="116" t="s">
        <v>75</v>
      </c>
    </row>
    <row r="54" spans="1:4" x14ac:dyDescent="0.2">
      <c r="A54" s="181">
        <v>0</v>
      </c>
      <c r="B54" s="116" t="s">
        <v>76</v>
      </c>
    </row>
    <row r="55" spans="1:4" x14ac:dyDescent="0.2">
      <c r="A55" s="181">
        <v>0.06</v>
      </c>
      <c r="B55" s="116" t="s">
        <v>77</v>
      </c>
    </row>
    <row r="56" spans="1:4" x14ac:dyDescent="0.2">
      <c r="A56" s="181">
        <v>0.2</v>
      </c>
      <c r="B56" s="116" t="s">
        <v>78</v>
      </c>
    </row>
  </sheetData>
  <sheetProtection algorithmName="SHA-512" hashValue="8I+mDIk0HJPpnWRA2mFWgMm8rkPB3roM5w+Kdrp8tT83gmp+i7P1FSMiGCUnPCpm6BmTgXAX7t38EiSIDh00tw==" saltValue="chPCCxzjFaaYyW8Yowrpfg==" spinCount="100000" sheet="1" objects="1" scenarios="1"/>
  <mergeCells count="4">
    <mergeCell ref="A1:F1"/>
    <mergeCell ref="H1:M1"/>
    <mergeCell ref="O1:T1"/>
    <mergeCell ref="V1:AA1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Input_Output</vt:lpstr>
      <vt:lpstr>Definitions</vt:lpstr>
      <vt:lpstr>Takeoff Distance Calculation</vt:lpstr>
      <vt:lpstr>kg_gal</vt:lpstr>
      <vt:lpstr>kg_lbs</vt:lpstr>
      <vt:lpstr>lbs_gal</vt:lpstr>
      <vt:lpstr>liter_gal</vt:lpstr>
      <vt:lpstr>liter_kg</vt:lpstr>
      <vt:lpstr>m_inch</vt:lpstr>
      <vt:lpstr>Max_Wing_Fuel</vt:lpstr>
      <vt:lpstr>Input_Output!Print_Area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2008-06-30T12:49:08Z</cp:lastPrinted>
  <dcterms:created xsi:type="dcterms:W3CDTF">1900-12-31T23:00:00Z</dcterms:created>
  <dcterms:modified xsi:type="dcterms:W3CDTF">2022-09-03T12:03:43Z</dcterms:modified>
</cp:coreProperties>
</file>