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 filterPrivacy="1" codeName="DieseArbeitsmappe" defaultThemeVersion="124226"/>
  <xr:revisionPtr revIDLastSave="11" documentId="13_ncr:1_{F9DDADBD-5746-3C44-A5BC-A06F3D778980}" xr6:coauthVersionLast="47" xr6:coauthVersionMax="47" xr10:uidLastSave="{F7EC563B-D174-6442-BDDC-D44092DE4727}"/>
  <workbookProtection workbookAlgorithmName="SHA-512" workbookHashValue="ar2x9s6zOAB4Exuapw5OodSfW0WoSGgnc19ERrLfCr5n9RZJtb12Kpp24vsIzjnn0SuVG3Bpo9ITQtix80LY+Q==" workbookSaltValue="6IdmjeX5oQa+56gmhMGbjw==" workbookSpinCount="100000" lockStructure="1"/>
  <bookViews>
    <workbookView xWindow="0" yWindow="500" windowWidth="33600" windowHeight="20500" xr2:uid="{00000000-000D-0000-FFFF-FFFF00000000}"/>
  </bookViews>
  <sheets>
    <sheet name="Input_Output" sheetId="1" r:id="rId1"/>
    <sheet name="Definitions" sheetId="2" r:id="rId2"/>
    <sheet name="Takeoff Distance Calculation" sheetId="3" r:id="rId3"/>
  </sheets>
  <definedNames>
    <definedName name="kg_gal">Definitions!$H$5</definedName>
    <definedName name="kg_lbs">Definitions!$H$3</definedName>
    <definedName name="lbs_gal">Definitions!$H$4</definedName>
    <definedName name="liter_gal">Definitions!$H$7</definedName>
    <definedName name="liter_kg">Definitions!$H$6</definedName>
    <definedName name="m_inch">Definitions!$H$8</definedName>
    <definedName name="Max_Tip_Fuel">Input_Output!#REF!</definedName>
    <definedName name="Max_Wing_Fuel">Input_Output!$C$20</definedName>
    <definedName name="_xlnm.Print_Area" localSheetId="0">Input_Output!$A$1:$O$33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1" l="1"/>
  <c r="D24" i="1" l="1"/>
  <c r="B20" i="3" l="1"/>
  <c r="C27" i="1" l="1"/>
  <c r="B19" i="3" s="1"/>
  <c r="C19" i="3" s="1"/>
  <c r="B18" i="3" l="1"/>
  <c r="C27" i="3" s="1"/>
  <c r="B17" i="3"/>
  <c r="B16" i="3"/>
  <c r="C17" i="3" l="1"/>
  <c r="C25" i="3" s="1"/>
  <c r="B50" i="3"/>
  <c r="Q27" i="3"/>
  <c r="D27" i="1"/>
  <c r="B26" i="3" l="1"/>
  <c r="I26" i="3"/>
  <c r="B51" i="3"/>
  <c r="J27" i="3"/>
  <c r="P26" i="3"/>
  <c r="P27" i="3" s="1"/>
  <c r="C10" i="1"/>
  <c r="I27" i="3" l="1"/>
  <c r="B27" i="3"/>
  <c r="B24" i="3"/>
  <c r="D25" i="1"/>
  <c r="B10" i="1"/>
  <c r="B21" i="3"/>
  <c r="P24" i="3"/>
  <c r="P30" i="3" s="1" a="1"/>
  <c r="P30" i="3" s="1"/>
  <c r="I24" i="3"/>
  <c r="F20" i="1"/>
  <c r="B29" i="3" l="1" a="1"/>
  <c r="B29" i="3" s="1"/>
  <c r="C29" i="3" s="1"/>
  <c r="B25" i="3"/>
  <c r="I30" i="3" a="1"/>
  <c r="I30" i="3" s="1"/>
  <c r="B30" i="3" a="1"/>
  <c r="B30" i="3" s="1"/>
  <c r="C30" i="3" s="1"/>
  <c r="I25" i="3"/>
  <c r="I31" i="3" s="1" a="1"/>
  <c r="I31" i="3" s="1"/>
  <c r="I29" i="3" a="1"/>
  <c r="I29" i="3" s="1"/>
  <c r="A44" i="3"/>
  <c r="C21" i="3"/>
  <c r="P29" i="3" a="1"/>
  <c r="P29" i="3" s="1"/>
  <c r="P35" i="3" s="1"/>
  <c r="P25" i="3"/>
  <c r="P31" i="3" s="1" a="1"/>
  <c r="P31" i="3" s="1"/>
  <c r="F14" i="1"/>
  <c r="F11" i="1"/>
  <c r="C12" i="1"/>
  <c r="I35" i="3" l="1"/>
  <c r="B35" i="3"/>
  <c r="I32" i="3" a="1"/>
  <c r="I32" i="3" s="1"/>
  <c r="I36" i="3" s="1"/>
  <c r="P32" i="3" a="1"/>
  <c r="P32" i="3" s="1"/>
  <c r="P36" i="3" s="1"/>
  <c r="P37" i="3" s="1"/>
  <c r="B40" i="3" s="1"/>
  <c r="C40" i="3" s="1"/>
  <c r="C46" i="3"/>
  <c r="B45" i="3"/>
  <c r="G9" i="1"/>
  <c r="F9" i="1"/>
  <c r="E9" i="1"/>
  <c r="D3" i="1"/>
  <c r="G3" i="1" s="1"/>
  <c r="F3" i="1"/>
  <c r="D9" i="2"/>
  <c r="D8" i="2"/>
  <c r="I37" i="3" l="1"/>
  <c r="B41" i="3" s="1"/>
  <c r="C41" i="3" s="1"/>
  <c r="C35" i="3"/>
  <c r="B46" i="3"/>
  <c r="C13" i="1"/>
  <c r="H9" i="1"/>
  <c r="H3" i="1"/>
  <c r="G8" i="1"/>
  <c r="G7" i="1"/>
  <c r="G5" i="1"/>
  <c r="G6" i="1"/>
  <c r="G4" i="1"/>
  <c r="F8" i="1"/>
  <c r="F7" i="1"/>
  <c r="F6" i="1"/>
  <c r="F5" i="1"/>
  <c r="F4" i="1"/>
  <c r="F12" i="1" l="1"/>
  <c r="F10" i="1"/>
  <c r="H6" i="1"/>
  <c r="H7" i="1"/>
  <c r="H4" i="1"/>
  <c r="H8" i="1"/>
  <c r="H5" i="1"/>
  <c r="F21" i="1"/>
  <c r="C21" i="1" s="1"/>
  <c r="E4" i="1"/>
  <c r="E5" i="1"/>
  <c r="E6" i="1"/>
  <c r="E7" i="1"/>
  <c r="E8" i="1"/>
  <c r="D4" i="2"/>
  <c r="D5" i="2"/>
  <c r="D6" i="2"/>
  <c r="D7" i="2"/>
  <c r="D3" i="2"/>
  <c r="E20" i="1"/>
  <c r="H4" i="2"/>
  <c r="D21" i="1" s="1"/>
  <c r="E21" i="1"/>
  <c r="H10" i="1" l="1"/>
  <c r="E10" i="1"/>
  <c r="C20" i="1"/>
  <c r="G10" i="1" l="1"/>
  <c r="F13" i="1"/>
  <c r="B10" i="2" l="1"/>
  <c r="B11" i="2"/>
  <c r="D10" i="2"/>
  <c r="D10" i="1"/>
  <c r="C11" i="2" s="1"/>
  <c r="C10" i="2" l="1"/>
  <c r="D11" i="2"/>
  <c r="B31" i="3" a="1"/>
  <c r="B31" i="3" s="1"/>
  <c r="B32" i="3" a="1"/>
  <c r="B32" i="3" s="1"/>
  <c r="C32" i="3" s="1"/>
  <c r="B36" i="3" l="1"/>
  <c r="B37" i="3" s="1"/>
  <c r="C31" i="3"/>
  <c r="C36" i="3" l="1"/>
  <c r="B42" i="3"/>
  <c r="C37" i="3"/>
  <c r="B47" i="3" l="1" a="1"/>
  <c r="B47" i="3" s="1"/>
  <c r="B52" i="3" s="1"/>
  <c r="C52" i="3" s="1"/>
  <c r="C30" i="1" s="1"/>
  <c r="C42" i="3"/>
  <c r="D52" i="3" l="1"/>
  <c r="E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<sst xmlns="http://schemas.openxmlformats.org/spreadsheetml/2006/main" count="131" uniqueCount="91">
  <si>
    <t>Arm</t>
  </si>
  <si>
    <t>Moment</t>
  </si>
  <si>
    <t>Min.Fwd</t>
  </si>
  <si>
    <t>Max Fwd</t>
  </si>
  <si>
    <t>Max Rear</t>
  </si>
  <si>
    <t>Min Rear</t>
  </si>
  <si>
    <t>Aircraft Empty Weight</t>
  </si>
  <si>
    <t>Actual 0 Fuel</t>
  </si>
  <si>
    <t>Actual TakeOff</t>
  </si>
  <si>
    <t>Take Off</t>
  </si>
  <si>
    <t>Mom/1000</t>
  </si>
  <si>
    <t>Weight</t>
  </si>
  <si>
    <t>Fuel</t>
  </si>
  <si>
    <t>Liters</t>
  </si>
  <si>
    <t>Mass</t>
  </si>
  <si>
    <t>Factors</t>
  </si>
  <si>
    <t>kg_lbs</t>
  </si>
  <si>
    <t>m_inch</t>
  </si>
  <si>
    <t>lbs_gal</t>
  </si>
  <si>
    <t>liter_gal</t>
  </si>
  <si>
    <t>kg_gal</t>
  </si>
  <si>
    <t>Adjust with mouse</t>
  </si>
  <si>
    <t>liter_kg</t>
  </si>
  <si>
    <t>lbs</t>
  </si>
  <si>
    <t>in</t>
  </si>
  <si>
    <t>Pilot and Front Pax</t>
  </si>
  <si>
    <t>Rear Seats Pax</t>
  </si>
  <si>
    <t>Min. Fwd</t>
  </si>
  <si>
    <t>GAL</t>
  </si>
  <si>
    <t>kg</t>
  </si>
  <si>
    <t>lbs. In</t>
  </si>
  <si>
    <t>m</t>
  </si>
  <si>
    <t>m kg</t>
  </si>
  <si>
    <t>HB-CZU</t>
  </si>
  <si>
    <t>C-182S</t>
  </si>
  <si>
    <t>HB-CZU  Aircraft Weight &amp; Balance Data</t>
  </si>
  <si>
    <t>Max Fwd Land</t>
  </si>
  <si>
    <t>Max Rear Land</t>
  </si>
  <si>
    <t>Baggage Area A</t>
  </si>
  <si>
    <t>Baggage Area B</t>
  </si>
  <si>
    <t>Area B max. 80 lbs or 36 kg</t>
  </si>
  <si>
    <t>Max Bag. Area 1+2 200 lbs or 90 kg</t>
  </si>
  <si>
    <t>Area A max. 120 lbs or 54 kg</t>
  </si>
  <si>
    <t>Area C max. 80 lbs or 36 kg</t>
  </si>
  <si>
    <t>Baggage Area C</t>
  </si>
  <si>
    <t>Max. Landing Weight MLW</t>
  </si>
  <si>
    <t>AFM 21.4.2019</t>
  </si>
  <si>
    <t>Consult current AFM for binding data</t>
  </si>
  <si>
    <t>Max. usable fuel</t>
  </si>
  <si>
    <t>Zero Fuel Weight lbs</t>
  </si>
  <si>
    <t>C.G. must be inside envelope</t>
  </si>
  <si>
    <t>or fill in numbers  in "lbs"</t>
  </si>
  <si>
    <t>Actual fuel</t>
  </si>
  <si>
    <t>MAXIMUM TAKE OFF WEIGHT MTOW</t>
  </si>
  <si>
    <t>Additional load to MTOW</t>
  </si>
  <si>
    <t>Takeoff distance 3100 lbs</t>
  </si>
  <si>
    <t>Takeoff distance 2700 lbs</t>
  </si>
  <si>
    <t>Takeoff distance 2300 lbs</t>
  </si>
  <si>
    <t>Pressure Altitude ft</t>
  </si>
  <si>
    <t>Gnd Roll ft</t>
  </si>
  <si>
    <t>X</t>
  </si>
  <si>
    <t>Input</t>
  </si>
  <si>
    <t>Field elevation</t>
  </si>
  <si>
    <t>QNH</t>
  </si>
  <si>
    <t>OAT</t>
  </si>
  <si>
    <t>Wind</t>
  </si>
  <si>
    <t>Distance factor</t>
  </si>
  <si>
    <t>Takeoff Mass</t>
  </si>
  <si>
    <t>Intermediate</t>
  </si>
  <si>
    <t>PA low index</t>
  </si>
  <si>
    <t>PA high index</t>
  </si>
  <si>
    <t>OAT low index</t>
  </si>
  <si>
    <t>OAT high index</t>
  </si>
  <si>
    <t>Dist low PA/low OAT</t>
  </si>
  <si>
    <t>Dist low PA/high OAT</t>
  </si>
  <si>
    <t>Dist high PA/low OAT</t>
  </si>
  <si>
    <t>Dist high PA/high OAT</t>
  </si>
  <si>
    <t>Interpolation</t>
  </si>
  <si>
    <t>Forecast roll low PA</t>
  </si>
  <si>
    <t>Forecast roll high PA</t>
  </si>
  <si>
    <t>Forecast Gnd Roll</t>
  </si>
  <si>
    <t>Ground Roll by MTOM</t>
  </si>
  <si>
    <t>MOTM low index</t>
  </si>
  <si>
    <t>MTOM high index</t>
  </si>
  <si>
    <t>Wind Correction</t>
  </si>
  <si>
    <t>Tailwind increment</t>
  </si>
  <si>
    <t>Headwind decrement</t>
  </si>
  <si>
    <t>Rev. 11.08.2020</t>
  </si>
  <si>
    <t>Ground Roll</t>
  </si>
  <si>
    <t>For situational awarness only. Not officially approved. Use at your own risk.
Do not use on tablets. Only the desktop version of Excel is working properly.</t>
  </si>
  <si>
    <t>Short Field Performance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</si>
</sst>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0.0"/>
    <numFmt numFmtId="165" formatCode="0.0000"/>
    <numFmt numFmtId="166" formatCode="0.000"/>
    <numFmt numFmtId="167" formatCode="#,##0_ ;[Red]\-#,##0\ "/>
    <numFmt numFmtId="168" formatCode="0\ &quot;℃&quot;"/>
    <numFmt numFmtId="169" formatCode="0\ &quot;ft&quot;"/>
    <numFmt numFmtId="170" formatCode="#,##0.00\ &quot;hPa&quot;"/>
    <numFmt numFmtId="171" formatCode="&quot;(&quot;#,##0.00\ &quot; ft)&quot;"/>
    <numFmt numFmtId="172" formatCode="0\ &quot;kts&quot;"/>
    <numFmt numFmtId="173" formatCode="0\ &quot;lbs&quot;"/>
    <numFmt numFmtId="174" formatCode="&quot;(&quot;\ 0\ &quot;lbs)&quot;"/>
    <numFmt numFmtId="175" formatCode="0\ &quot;m&quot;"/>
    <numFmt numFmtId="176" formatCode="0.00\ &quot;ft&quot;"/>
    <numFmt numFmtId="177" formatCode="#,##0\ &quot;hPa&quot;"/>
    <numFmt numFmtId="178" formatCode="0\ &quot;hPa&quot;"/>
    <numFmt numFmtId="179" formatCode="&quot;(&quot;\ 0\ &quot;m)&quot;"/>
    <numFmt numFmtId="180" formatCode="&quot;(&quot;\ 0\ &quot;ft)&quot;"/>
  </numFmts>
  <fonts count="24" x14ac:knownFonts="1">
    <font>
      <sz val="10"/>
      <name val="Arial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indexed="8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2"/>
      <color rgb="FFFF0000"/>
      <name val="Calibri"/>
      <family val="2"/>
      <scheme val="minor"/>
    </font>
    <font>
      <b/>
      <sz val="14"/>
      <name val="Arial"/>
      <family val="2"/>
    </font>
    <font>
      <sz val="10"/>
      <color theme="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rgb="FFFF0000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Dashed">
        <color rgb="FF00B050"/>
      </left>
      <right style="mediumDashed">
        <color rgb="FF00B050"/>
      </right>
      <top style="mediumDashed">
        <color rgb="FF00B050"/>
      </top>
      <bottom style="thin">
        <color auto="1"/>
      </bottom>
      <diagonal/>
    </border>
    <border>
      <left style="mediumDashed">
        <color rgb="FF00B050"/>
      </left>
      <right style="mediumDashed">
        <color rgb="FF00B050"/>
      </right>
      <top style="thin">
        <color auto="1"/>
      </top>
      <bottom style="thin">
        <color auto="1"/>
      </bottom>
      <diagonal/>
    </border>
    <border>
      <left style="mediumDashed">
        <color rgb="FF00B050"/>
      </left>
      <right style="mediumDashed">
        <color rgb="FF00B050"/>
      </right>
      <top style="thin">
        <color auto="1"/>
      </top>
      <bottom style="mediumDashed">
        <color rgb="FF00B05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ed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Dashed">
        <color rgb="FF06B050"/>
      </left>
      <right style="mediumDashed">
        <color rgb="FF06B050"/>
      </right>
      <top style="mediumDashed">
        <color rgb="FF06B050"/>
      </top>
      <bottom/>
      <diagonal/>
    </border>
    <border>
      <left style="mediumDashed">
        <color rgb="FF06B050"/>
      </left>
      <right style="mediumDashed">
        <color rgb="FF06B050"/>
      </right>
      <top/>
      <bottom/>
      <diagonal/>
    </border>
    <border>
      <left style="mediumDashed">
        <color rgb="FF06B050"/>
      </left>
      <right style="mediumDashed">
        <color rgb="FF06B050"/>
      </right>
      <top/>
      <bottom style="mediumDashed">
        <color rgb="FF06B050"/>
      </bottom>
      <diagonal/>
    </border>
    <border>
      <left/>
      <right/>
      <top style="mediumDashed">
        <color rgb="FF06B050"/>
      </top>
      <bottom/>
      <diagonal/>
    </border>
  </borders>
  <cellStyleXfs count="2">
    <xf numFmtId="0" fontId="0" fillId="0" borderId="0"/>
    <xf numFmtId="0" fontId="1" fillId="0" borderId="0"/>
  </cellStyleXfs>
  <cellXfs count="232">
    <xf numFmtId="0" fontId="0" fillId="0" borderId="0" xfId="0"/>
    <xf numFmtId="0" fontId="6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164" fontId="0" fillId="3" borderId="4" xfId="0" applyNumberFormat="1" applyFill="1" applyBorder="1"/>
    <xf numFmtId="164" fontId="4" fillId="3" borderId="4" xfId="0" applyNumberFormat="1" applyFont="1" applyFill="1" applyBorder="1"/>
    <xf numFmtId="0" fontId="0" fillId="3" borderId="1" xfId="0" applyFill="1" applyBorder="1"/>
    <xf numFmtId="0" fontId="0" fillId="3" borderId="5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0" fontId="0" fillId="3" borderId="2" xfId="0" applyFill="1" applyBorder="1"/>
    <xf numFmtId="0" fontId="0" fillId="3" borderId="3" xfId="0" applyFill="1" applyBorder="1"/>
    <xf numFmtId="164" fontId="5" fillId="3" borderId="7" xfId="0" applyNumberFormat="1" applyFont="1" applyFill="1" applyBorder="1"/>
    <xf numFmtId="165" fontId="0" fillId="2" borderId="6" xfId="0" applyNumberFormat="1" applyFill="1" applyBorder="1"/>
    <xf numFmtId="165" fontId="0" fillId="2" borderId="10" xfId="0" applyNumberFormat="1" applyFill="1" applyBorder="1"/>
    <xf numFmtId="165" fontId="0" fillId="2" borderId="11" xfId="0" applyNumberFormat="1" applyFill="1" applyBorder="1"/>
    <xf numFmtId="165" fontId="0" fillId="0" borderId="0" xfId="0" applyNumberFormat="1"/>
    <xf numFmtId="166" fontId="0" fillId="3" borderId="10" xfId="0" applyNumberFormat="1" applyFill="1" applyBorder="1"/>
    <xf numFmtId="166" fontId="0" fillId="3" borderId="11" xfId="0" applyNumberFormat="1" applyFill="1" applyBorder="1"/>
    <xf numFmtId="0" fontId="9" fillId="0" borderId="0" xfId="0" applyFont="1"/>
    <xf numFmtId="0" fontId="9" fillId="3" borderId="2" xfId="0" applyFont="1" applyFill="1" applyBorder="1"/>
    <xf numFmtId="3" fontId="9" fillId="14" borderId="29" xfId="0" applyNumberFormat="1" applyFont="1" applyFill="1" applyBorder="1" applyAlignment="1" applyProtection="1">
      <alignment vertical="center"/>
      <protection locked="0"/>
    </xf>
    <xf numFmtId="3" fontId="9" fillId="14" borderId="30" xfId="0" applyNumberFormat="1" applyFont="1" applyFill="1" applyBorder="1" applyAlignment="1" applyProtection="1">
      <alignment vertical="center"/>
      <protection locked="0"/>
    </xf>
    <xf numFmtId="3" fontId="9" fillId="14" borderId="31" xfId="0" applyNumberFormat="1" applyFont="1" applyFill="1" applyBorder="1" applyAlignment="1" applyProtection="1">
      <alignment vertical="center"/>
      <protection locked="0"/>
    </xf>
    <xf numFmtId="164" fontId="2" fillId="4" borderId="49" xfId="0" applyNumberFormat="1" applyFont="1" applyFill="1" applyBorder="1" applyAlignment="1" applyProtection="1">
      <alignment horizontal="center" vertical="center"/>
    </xf>
    <xf numFmtId="0" fontId="2" fillId="13" borderId="49" xfId="0" applyFont="1" applyFill="1" applyBorder="1" applyAlignment="1" applyProtection="1">
      <alignment horizontal="center" vertical="center"/>
    </xf>
    <xf numFmtId="164" fontId="2" fillId="13" borderId="12" xfId="0" applyNumberFormat="1" applyFont="1" applyFill="1" applyBorder="1" applyAlignment="1" applyProtection="1">
      <alignment horizontal="center" vertical="center"/>
    </xf>
    <xf numFmtId="0" fontId="2" fillId="12" borderId="48" xfId="0" applyFont="1" applyFill="1" applyBorder="1" applyAlignment="1" applyProtection="1">
      <alignment horizontal="center"/>
    </xf>
    <xf numFmtId="0" fontId="2" fillId="12" borderId="49" xfId="0" applyFont="1" applyFill="1" applyBorder="1" applyAlignment="1" applyProtection="1">
      <alignment horizontal="center"/>
    </xf>
    <xf numFmtId="0" fontId="2" fillId="12" borderId="45" xfId="0" applyFont="1" applyFill="1" applyBorder="1" applyAlignment="1" applyProtection="1">
      <alignment horizontal="center"/>
    </xf>
    <xf numFmtId="0" fontId="0" fillId="0" borderId="9" xfId="0" applyBorder="1" applyProtection="1"/>
    <xf numFmtId="0" fontId="0" fillId="0" borderId="0" xfId="0" applyBorder="1" applyProtection="1"/>
    <xf numFmtId="0" fontId="0" fillId="0" borderId="0" xfId="0" applyProtection="1"/>
    <xf numFmtId="0" fontId="0" fillId="0" borderId="8" xfId="0" applyBorder="1" applyProtection="1"/>
    <xf numFmtId="164" fontId="2" fillId="4" borderId="51" xfId="0" applyNumberFormat="1" applyFont="1" applyFill="1" applyBorder="1" applyAlignment="1" applyProtection="1">
      <alignment horizontal="center" vertical="center"/>
    </xf>
    <xf numFmtId="166" fontId="2" fillId="13" borderId="51" xfId="0" applyNumberFormat="1" applyFont="1" applyFill="1" applyBorder="1" applyAlignment="1" applyProtection="1">
      <alignment horizontal="center" vertical="center"/>
    </xf>
    <xf numFmtId="164" fontId="2" fillId="13" borderId="39" xfId="0" applyNumberFormat="1" applyFont="1" applyFill="1" applyBorder="1" applyAlignment="1" applyProtection="1">
      <alignment horizontal="center" vertical="center"/>
    </xf>
    <xf numFmtId="0" fontId="2" fillId="12" borderId="50" xfId="0" applyFont="1" applyFill="1" applyBorder="1" applyAlignment="1" applyProtection="1">
      <alignment horizontal="center"/>
    </xf>
    <xf numFmtId="0" fontId="2" fillId="12" borderId="51" xfId="0" applyFont="1" applyFill="1" applyBorder="1" applyAlignment="1" applyProtection="1">
      <alignment horizontal="center"/>
    </xf>
    <xf numFmtId="0" fontId="2" fillId="12" borderId="52" xfId="0" applyFont="1" applyFill="1" applyBorder="1" applyAlignment="1" applyProtection="1">
      <alignment horizontal="center"/>
    </xf>
    <xf numFmtId="0" fontId="2" fillId="0" borderId="1" xfId="0" applyFont="1" applyBorder="1" applyAlignment="1" applyProtection="1">
      <alignment vertical="center"/>
    </xf>
    <xf numFmtId="0" fontId="2" fillId="0" borderId="20" xfId="0" applyFont="1" applyFill="1" applyBorder="1" applyAlignment="1" applyProtection="1">
      <alignment vertical="center"/>
    </xf>
    <xf numFmtId="3" fontId="9" fillId="4" borderId="33" xfId="0" applyNumberFormat="1" applyFont="1" applyFill="1" applyBorder="1" applyAlignment="1" applyProtection="1">
      <alignment vertical="center"/>
    </xf>
    <xf numFmtId="2" fontId="9" fillId="13" borderId="17" xfId="0" applyNumberFormat="1" applyFont="1" applyFill="1" applyBorder="1" applyAlignment="1" applyProtection="1">
      <alignment vertical="center"/>
    </xf>
    <xf numFmtId="3" fontId="9" fillId="13" borderId="6" xfId="0" applyNumberFormat="1" applyFont="1" applyFill="1" applyBorder="1" applyAlignment="1" applyProtection="1">
      <alignment vertical="center"/>
    </xf>
    <xf numFmtId="3" fontId="9" fillId="12" borderId="46" xfId="0" applyNumberFormat="1" applyFont="1" applyFill="1" applyBorder="1" applyAlignment="1" applyProtection="1">
      <alignment horizontal="right" vertical="center"/>
    </xf>
    <xf numFmtId="4" fontId="9" fillId="12" borderId="46" xfId="0" applyNumberFormat="1" applyFont="1" applyFill="1" applyBorder="1" applyAlignment="1" applyProtection="1">
      <alignment horizontal="center" vertical="center"/>
    </xf>
    <xf numFmtId="4" fontId="9" fillId="12" borderId="47" xfId="0" applyNumberFormat="1" applyFont="1" applyFill="1" applyBorder="1" applyAlignment="1" applyProtection="1">
      <alignment horizontal="right" vertical="center"/>
    </xf>
    <xf numFmtId="0" fontId="2" fillId="0" borderId="2" xfId="0" applyFont="1" applyBorder="1" applyAlignment="1" applyProtection="1">
      <alignment vertical="center"/>
    </xf>
    <xf numFmtId="0" fontId="0" fillId="5" borderId="21" xfId="0" applyFill="1" applyBorder="1" applyAlignment="1" applyProtection="1">
      <alignment vertical="center"/>
    </xf>
    <xf numFmtId="2" fontId="0" fillId="13" borderId="14" xfId="0" applyNumberFormat="1" applyFill="1" applyBorder="1" applyAlignment="1" applyProtection="1">
      <alignment vertical="center"/>
    </xf>
    <xf numFmtId="3" fontId="0" fillId="13" borderId="10" xfId="0" applyNumberFormat="1" applyFill="1" applyBorder="1" applyAlignment="1" applyProtection="1">
      <alignment vertical="center"/>
    </xf>
    <xf numFmtId="3" fontId="0" fillId="12" borderId="4" xfId="0" applyNumberFormat="1" applyFill="1" applyBorder="1" applyAlignment="1" applyProtection="1">
      <alignment horizontal="right" vertical="center"/>
    </xf>
    <xf numFmtId="4" fontId="0" fillId="12" borderId="4" xfId="0" applyNumberFormat="1" applyFill="1" applyBorder="1" applyAlignment="1" applyProtection="1">
      <alignment horizontal="center" vertical="center"/>
    </xf>
    <xf numFmtId="4" fontId="0" fillId="12" borderId="10" xfId="0" applyNumberFormat="1" applyFill="1" applyBorder="1" applyAlignment="1" applyProtection="1">
      <alignment horizontal="right" vertical="center"/>
    </xf>
    <xf numFmtId="0" fontId="2" fillId="0" borderId="26" xfId="0" applyFont="1" applyBorder="1" applyAlignment="1" applyProtection="1">
      <alignment vertical="center"/>
    </xf>
    <xf numFmtId="0" fontId="0" fillId="5" borderId="0" xfId="0" applyFill="1" applyBorder="1" applyAlignment="1" applyProtection="1">
      <alignment vertical="center"/>
    </xf>
    <xf numFmtId="2" fontId="0" fillId="13" borderId="27" xfId="0" applyNumberFormat="1" applyFill="1" applyBorder="1" applyAlignment="1" applyProtection="1">
      <alignment vertical="center"/>
    </xf>
    <xf numFmtId="3" fontId="0" fillId="13" borderId="19" xfId="0" applyNumberFormat="1" applyFill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167" fontId="2" fillId="4" borderId="28" xfId="0" applyNumberFormat="1" applyFont="1" applyFill="1" applyBorder="1" applyAlignment="1" applyProtection="1">
      <alignment vertical="center"/>
    </xf>
    <xf numFmtId="2" fontId="2" fillId="13" borderId="7" xfId="0" applyNumberFormat="1" applyFont="1" applyFill="1" applyBorder="1" applyAlignment="1" applyProtection="1">
      <alignment vertical="center"/>
    </xf>
    <xf numFmtId="3" fontId="2" fillId="13" borderId="11" xfId="0" applyNumberFormat="1" applyFont="1" applyFill="1" applyBorder="1" applyAlignment="1" applyProtection="1">
      <alignment vertical="center"/>
    </xf>
    <xf numFmtId="3" fontId="2" fillId="12" borderId="34" xfId="0" applyNumberFormat="1" applyFont="1" applyFill="1" applyBorder="1" applyAlignment="1" applyProtection="1">
      <alignment horizontal="right" vertical="center"/>
    </xf>
    <xf numFmtId="4" fontId="2" fillId="12" borderId="34" xfId="0" applyNumberFormat="1" applyFont="1" applyFill="1" applyBorder="1" applyAlignment="1" applyProtection="1">
      <alignment horizontal="center" vertical="center"/>
    </xf>
    <xf numFmtId="4" fontId="2" fillId="12" borderId="19" xfId="0" applyNumberFormat="1" applyFont="1" applyFill="1" applyBorder="1" applyAlignment="1" applyProtection="1">
      <alignment horizontal="right" vertical="center"/>
    </xf>
    <xf numFmtId="0" fontId="11" fillId="0" borderId="15" xfId="0" applyFont="1" applyBorder="1" applyAlignment="1" applyProtection="1">
      <alignment vertical="center"/>
    </xf>
    <xf numFmtId="0" fontId="12" fillId="0" borderId="15" xfId="0" applyFont="1" applyFill="1" applyBorder="1" applyAlignment="1" applyProtection="1">
      <alignment horizontal="right" vertical="center"/>
    </xf>
    <xf numFmtId="3" fontId="12" fillId="2" borderId="43" xfId="0" applyNumberFormat="1" applyFont="1" applyFill="1" applyBorder="1" applyAlignment="1" applyProtection="1">
      <alignment vertical="center"/>
    </xf>
    <xf numFmtId="0" fontId="11" fillId="2" borderId="36" xfId="0" applyFont="1" applyFill="1" applyBorder="1" applyAlignment="1" applyProtection="1">
      <alignment horizontal="right" vertical="center"/>
    </xf>
    <xf numFmtId="3" fontId="11" fillId="0" borderId="12" xfId="0" applyNumberFormat="1" applyFont="1" applyFill="1" applyBorder="1" applyAlignment="1" applyProtection="1">
      <alignment horizontal="center" vertical="center"/>
    </xf>
    <xf numFmtId="3" fontId="12" fillId="12" borderId="35" xfId="0" applyNumberFormat="1" applyFont="1" applyFill="1" applyBorder="1" applyAlignment="1" applyProtection="1">
      <alignment horizontal="right" vertical="center"/>
    </xf>
    <xf numFmtId="3" fontId="11" fillId="12" borderId="43" xfId="0" applyNumberFormat="1" applyFont="1" applyFill="1" applyBorder="1" applyAlignment="1" applyProtection="1">
      <alignment horizontal="right" vertical="center"/>
    </xf>
    <xf numFmtId="4" fontId="11" fillId="0" borderId="16" xfId="0" applyNumberFormat="1" applyFont="1" applyFill="1" applyBorder="1" applyAlignment="1" applyProtection="1">
      <alignment horizontal="right" vertical="center"/>
    </xf>
    <xf numFmtId="0" fontId="0" fillId="0" borderId="8" xfId="0" applyBorder="1" applyAlignment="1" applyProtection="1">
      <alignment vertical="center"/>
    </xf>
    <xf numFmtId="0" fontId="9" fillId="0" borderId="18" xfId="0" applyFont="1" applyBorder="1" applyProtection="1"/>
    <xf numFmtId="3" fontId="0" fillId="0" borderId="6" xfId="0" applyNumberFormat="1" applyBorder="1" applyAlignment="1" applyProtection="1">
      <alignment vertical="center"/>
    </xf>
    <xf numFmtId="3" fontId="9" fillId="0" borderId="40" xfId="0" applyNumberFormat="1" applyFont="1" applyFill="1" applyBorder="1" applyAlignment="1" applyProtection="1">
      <alignment horizontal="right" vertical="center"/>
    </xf>
    <xf numFmtId="3" fontId="3" fillId="0" borderId="0" xfId="0" applyNumberFormat="1" applyFont="1" applyFill="1" applyBorder="1" applyAlignment="1" applyProtection="1">
      <alignment horizontal="center" vertical="center"/>
    </xf>
    <xf numFmtId="3" fontId="0" fillId="0" borderId="1" xfId="0" applyNumberFormat="1" applyFill="1" applyBorder="1" applyAlignment="1" applyProtection="1">
      <alignment horizontal="right" vertical="center"/>
    </xf>
    <xf numFmtId="4" fontId="9" fillId="0" borderId="6" xfId="0" applyNumberFormat="1" applyFont="1" applyFill="1" applyBorder="1" applyAlignment="1" applyProtection="1">
      <alignment horizontal="right" vertical="center"/>
    </xf>
    <xf numFmtId="4" fontId="0" fillId="0" borderId="8" xfId="0" applyNumberFormat="1" applyFill="1" applyBorder="1" applyAlignment="1" applyProtection="1">
      <alignment horizontal="right" vertical="center"/>
    </xf>
    <xf numFmtId="0" fontId="9" fillId="0" borderId="22" xfId="0" applyFont="1" applyBorder="1" applyAlignment="1" applyProtection="1">
      <alignment vertical="center"/>
    </xf>
    <xf numFmtId="167" fontId="9" fillId="0" borderId="11" xfId="0" applyNumberFormat="1" applyFont="1" applyBorder="1" applyAlignment="1" applyProtection="1">
      <alignment vertical="center"/>
    </xf>
    <xf numFmtId="3" fontId="9" fillId="0" borderId="41" xfId="0" applyNumberFormat="1" applyFont="1" applyFill="1" applyBorder="1" applyAlignment="1" applyProtection="1">
      <alignment horizontal="right" vertical="center"/>
    </xf>
    <xf numFmtId="3" fontId="0" fillId="0" borderId="0" xfId="0" applyNumberFormat="1" applyFill="1" applyBorder="1" applyAlignment="1" applyProtection="1">
      <alignment horizontal="center" vertical="center"/>
    </xf>
    <xf numFmtId="167" fontId="0" fillId="0" borderId="3" xfId="0" applyNumberFormat="1" applyFill="1" applyBorder="1" applyAlignment="1" applyProtection="1">
      <alignment horizontal="right" vertical="center"/>
    </xf>
    <xf numFmtId="4" fontId="9" fillId="0" borderId="11" xfId="0" applyNumberFormat="1" applyFont="1" applyFill="1" applyBorder="1" applyAlignment="1" applyProtection="1">
      <alignment horizontal="right" vertical="center"/>
    </xf>
    <xf numFmtId="0" fontId="11" fillId="0" borderId="8" xfId="0" applyFont="1" applyBorder="1" applyAlignment="1" applyProtection="1">
      <alignment vertical="center"/>
    </xf>
    <xf numFmtId="3" fontId="12" fillId="0" borderId="44" xfId="0" applyNumberFormat="1" applyFont="1" applyBorder="1" applyAlignment="1" applyProtection="1">
      <alignment vertical="center"/>
    </xf>
    <xf numFmtId="3" fontId="11" fillId="0" borderId="37" xfId="0" applyNumberFormat="1" applyFont="1" applyFill="1" applyBorder="1" applyAlignment="1" applyProtection="1">
      <alignment horizontal="right" vertical="center"/>
    </xf>
    <xf numFmtId="3" fontId="11" fillId="0" borderId="0" xfId="0" applyNumberFormat="1" applyFont="1" applyFill="1" applyBorder="1" applyAlignment="1" applyProtection="1">
      <alignment horizontal="center" vertical="center"/>
    </xf>
    <xf numFmtId="3" fontId="12" fillId="0" borderId="35" xfId="0" applyNumberFormat="1" applyFont="1" applyFill="1" applyBorder="1" applyAlignment="1" applyProtection="1">
      <alignment horizontal="right" vertical="center"/>
    </xf>
    <xf numFmtId="4" fontId="11" fillId="0" borderId="36" xfId="0" applyNumberFormat="1" applyFont="1" applyFill="1" applyBorder="1" applyAlignment="1" applyProtection="1">
      <alignment horizontal="right" vertical="center"/>
    </xf>
    <xf numFmtId="4" fontId="0" fillId="0" borderId="0" xfId="0" applyNumberFormat="1" applyFill="1" applyBorder="1" applyProtection="1"/>
    <xf numFmtId="0" fontId="2" fillId="5" borderId="8" xfId="0" applyFont="1" applyFill="1" applyBorder="1" applyProtection="1"/>
    <xf numFmtId="4" fontId="9" fillId="0" borderId="0" xfId="0" applyNumberFormat="1" applyFont="1" applyFill="1" applyBorder="1" applyAlignment="1" applyProtection="1">
      <alignment horizontal="right"/>
    </xf>
    <xf numFmtId="3" fontId="0" fillId="0" borderId="0" xfId="0" applyNumberFormat="1" applyFill="1" applyBorder="1" applyAlignment="1" applyProtection="1">
      <alignment horizontal="center"/>
    </xf>
    <xf numFmtId="0" fontId="2" fillId="6" borderId="1" xfId="0" applyFont="1" applyFill="1" applyBorder="1" applyProtection="1"/>
    <xf numFmtId="4" fontId="0" fillId="6" borderId="5" xfId="0" applyNumberFormat="1" applyFill="1" applyBorder="1" applyAlignment="1" applyProtection="1">
      <alignment horizontal="center"/>
    </xf>
    <xf numFmtId="4" fontId="0" fillId="6" borderId="23" xfId="0" applyNumberFormat="1" applyFill="1" applyBorder="1" applyAlignment="1" applyProtection="1">
      <alignment horizontal="center"/>
    </xf>
    <xf numFmtId="4" fontId="9" fillId="6" borderId="6" xfId="0" applyNumberFormat="1" applyFont="1" applyFill="1" applyBorder="1" applyAlignment="1" applyProtection="1">
      <alignment horizontal="center"/>
    </xf>
    <xf numFmtId="0" fontId="9" fillId="6" borderId="2" xfId="0" applyFont="1" applyFill="1" applyBorder="1" applyProtection="1"/>
    <xf numFmtId="3" fontId="0" fillId="6" borderId="4" xfId="0" applyNumberFormat="1" applyFill="1" applyBorder="1" applyAlignment="1" applyProtection="1">
      <alignment horizontal="center"/>
    </xf>
    <xf numFmtId="3" fontId="2" fillId="6" borderId="4" xfId="0" applyNumberFormat="1" applyFont="1" applyFill="1" applyBorder="1" applyAlignment="1" applyProtection="1">
      <alignment horizontal="center"/>
    </xf>
    <xf numFmtId="3" fontId="0" fillId="10" borderId="24" xfId="0" applyNumberFormat="1" applyFill="1" applyBorder="1" applyAlignment="1" applyProtection="1">
      <alignment horizontal="center"/>
    </xf>
    <xf numFmtId="1" fontId="0" fillId="10" borderId="19" xfId="0" applyNumberFormat="1" applyFill="1" applyBorder="1" applyAlignment="1" applyProtection="1">
      <alignment horizontal="center"/>
    </xf>
    <xf numFmtId="0" fontId="9" fillId="7" borderId="3" xfId="0" applyFont="1" applyFill="1" applyBorder="1" applyProtection="1"/>
    <xf numFmtId="3" fontId="3" fillId="7" borderId="7" xfId="0" applyNumberFormat="1" applyFont="1" applyFill="1" applyBorder="1" applyAlignment="1" applyProtection="1">
      <alignment horizontal="center"/>
    </xf>
    <xf numFmtId="3" fontId="3" fillId="7" borderId="7" xfId="0" applyNumberFormat="1" applyFont="1" applyFill="1" applyBorder="1" applyAlignment="1" applyProtection="1">
      <alignment horizontal="center" vertical="center"/>
    </xf>
    <xf numFmtId="3" fontId="8" fillId="7" borderId="25" xfId="0" applyNumberFormat="1" applyFont="1" applyFill="1" applyBorder="1" applyAlignment="1" applyProtection="1">
      <alignment horizontal="center" vertical="center"/>
    </xf>
    <xf numFmtId="3" fontId="0" fillId="11" borderId="11" xfId="0" applyNumberFormat="1" applyFill="1" applyBorder="1" applyAlignment="1" applyProtection="1">
      <alignment horizontal="center" vertical="center"/>
    </xf>
    <xf numFmtId="0" fontId="3" fillId="0" borderId="8" xfId="0" applyFont="1" applyBorder="1" applyProtection="1"/>
    <xf numFmtId="164" fontId="0" fillId="0" borderId="0" xfId="0" applyNumberFormat="1" applyProtection="1"/>
    <xf numFmtId="164" fontId="3" fillId="0" borderId="0" xfId="0" applyNumberFormat="1" applyFont="1" applyBorder="1" applyProtection="1"/>
    <xf numFmtId="164" fontId="3" fillId="0" borderId="0" xfId="0" applyNumberFormat="1" applyFont="1" applyProtection="1"/>
    <xf numFmtId="0" fontId="9" fillId="0" borderId="15" xfId="0" applyFont="1" applyBorder="1" applyProtection="1"/>
    <xf numFmtId="0" fontId="10" fillId="0" borderId="38" xfId="0" applyFont="1" applyFill="1" applyBorder="1" applyAlignment="1" applyProtection="1"/>
    <xf numFmtId="0" fontId="3" fillId="0" borderId="0" xfId="0" applyFont="1" applyProtection="1"/>
    <xf numFmtId="0" fontId="0" fillId="0" borderId="0" xfId="0" applyAlignment="1" applyProtection="1">
      <alignment horizontal="right"/>
    </xf>
    <xf numFmtId="0" fontId="1" fillId="0" borderId="0" xfId="1"/>
    <xf numFmtId="0" fontId="17" fillId="0" borderId="0" xfId="1" applyFont="1"/>
    <xf numFmtId="0" fontId="1" fillId="0" borderId="16" xfId="1" applyBorder="1"/>
    <xf numFmtId="168" fontId="1" fillId="0" borderId="1" xfId="1" applyNumberFormat="1" applyBorder="1" applyAlignment="1">
      <alignment horizontal="center" vertical="center"/>
    </xf>
    <xf numFmtId="168" fontId="1" fillId="0" borderId="40" xfId="1" applyNumberFormat="1" applyBorder="1" applyAlignment="1">
      <alignment horizontal="center" vertical="center"/>
    </xf>
    <xf numFmtId="0" fontId="17" fillId="0" borderId="16" xfId="1" applyFont="1" applyBorder="1"/>
    <xf numFmtId="168" fontId="17" fillId="0" borderId="1" xfId="1" applyNumberFormat="1" applyFont="1" applyBorder="1" applyAlignment="1">
      <alignment horizontal="center" vertical="center"/>
    </xf>
    <xf numFmtId="168" fontId="17" fillId="0" borderId="40" xfId="1" applyNumberFormat="1" applyFont="1" applyBorder="1" applyAlignment="1">
      <alignment horizontal="center" vertical="center"/>
    </xf>
    <xf numFmtId="0" fontId="1" fillId="0" borderId="22" xfId="1" applyBorder="1"/>
    <xf numFmtId="0" fontId="1" fillId="0" borderId="3" xfId="1" applyBorder="1"/>
    <xf numFmtId="0" fontId="1" fillId="0" borderId="41" xfId="1" applyBorder="1"/>
    <xf numFmtId="0" fontId="17" fillId="0" borderId="50" xfId="1" applyFont="1" applyBorder="1"/>
    <xf numFmtId="0" fontId="17" fillId="0" borderId="54" xfId="1" applyFont="1" applyBorder="1"/>
    <xf numFmtId="1" fontId="1" fillId="0" borderId="55" xfId="1" applyNumberFormat="1" applyBorder="1"/>
    <xf numFmtId="1" fontId="1" fillId="0" borderId="56" xfId="1" applyNumberFormat="1" applyBorder="1"/>
    <xf numFmtId="1" fontId="1" fillId="0" borderId="57" xfId="1" applyNumberFormat="1" applyBorder="1"/>
    <xf numFmtId="1" fontId="17" fillId="0" borderId="55" xfId="1" applyNumberFormat="1" applyFont="1" applyBorder="1"/>
    <xf numFmtId="1" fontId="17" fillId="0" borderId="56" xfId="1" applyNumberFormat="1" applyFont="1" applyBorder="1"/>
    <xf numFmtId="1" fontId="17" fillId="0" borderId="57" xfId="1" applyNumberFormat="1" applyFont="1" applyBorder="1"/>
    <xf numFmtId="1" fontId="1" fillId="0" borderId="58" xfId="1" applyNumberFormat="1" applyBorder="1"/>
    <xf numFmtId="1" fontId="1" fillId="0" borderId="2" xfId="1" applyNumberFormat="1" applyBorder="1"/>
    <xf numFmtId="1" fontId="1" fillId="0" borderId="59" xfId="1" applyNumberFormat="1" applyBorder="1"/>
    <xf numFmtId="1" fontId="1" fillId="15" borderId="59" xfId="1" applyNumberFormat="1" applyFill="1" applyBorder="1"/>
    <xf numFmtId="1" fontId="1" fillId="0" borderId="22" xfId="1" applyNumberFormat="1" applyBorder="1"/>
    <xf numFmtId="1" fontId="1" fillId="0" borderId="3" xfId="1" applyNumberFormat="1" applyBorder="1"/>
    <xf numFmtId="1" fontId="1" fillId="15" borderId="3" xfId="1" applyNumberFormat="1" applyFill="1" applyBorder="1"/>
    <xf numFmtId="1" fontId="1" fillId="15" borderId="41" xfId="1" applyNumberFormat="1" applyFill="1" applyBorder="1"/>
    <xf numFmtId="1" fontId="1" fillId="0" borderId="41" xfId="1" applyNumberFormat="1" applyBorder="1"/>
    <xf numFmtId="1" fontId="17" fillId="0" borderId="22" xfId="1" applyNumberFormat="1" applyFont="1" applyBorder="1"/>
    <xf numFmtId="1" fontId="17" fillId="0" borderId="3" xfId="1" applyNumberFormat="1" applyFont="1" applyBorder="1"/>
    <xf numFmtId="1" fontId="17" fillId="0" borderId="41" xfId="1" applyNumberFormat="1" applyFont="1" applyBorder="1"/>
    <xf numFmtId="0" fontId="14" fillId="16" borderId="16" xfId="1" applyFont="1" applyFill="1" applyBorder="1"/>
    <xf numFmtId="0" fontId="1" fillId="16" borderId="9" xfId="1" applyFill="1" applyBorder="1"/>
    <xf numFmtId="0" fontId="1" fillId="16" borderId="12" xfId="1" applyFill="1" applyBorder="1"/>
    <xf numFmtId="0" fontId="1" fillId="16" borderId="8" xfId="1" applyFill="1" applyBorder="1"/>
    <xf numFmtId="169" fontId="1" fillId="16" borderId="0" xfId="1" applyNumberFormat="1" applyFill="1"/>
    <xf numFmtId="0" fontId="1" fillId="16" borderId="39" xfId="1" applyFill="1" applyBorder="1"/>
    <xf numFmtId="170" fontId="1" fillId="16" borderId="0" xfId="1" applyNumberFormat="1" applyFill="1"/>
    <xf numFmtId="171" fontId="1" fillId="16" borderId="39" xfId="1" applyNumberFormat="1" applyFill="1" applyBorder="1"/>
    <xf numFmtId="168" fontId="1" fillId="16" borderId="0" xfId="1" applyNumberFormat="1" applyFill="1"/>
    <xf numFmtId="172" fontId="1" fillId="16" borderId="0" xfId="1" applyNumberFormat="1" applyFill="1"/>
    <xf numFmtId="9" fontId="1" fillId="16" borderId="0" xfId="1" applyNumberFormat="1" applyFill="1"/>
    <xf numFmtId="0" fontId="1" fillId="16" borderId="13" xfId="1" applyFill="1" applyBorder="1"/>
    <xf numFmtId="173" fontId="1" fillId="16" borderId="60" xfId="1" applyNumberFormat="1" applyFill="1" applyBorder="1"/>
    <xf numFmtId="174" fontId="1" fillId="16" borderId="32" xfId="1" applyNumberFormat="1" applyFill="1" applyBorder="1"/>
    <xf numFmtId="0" fontId="14" fillId="0" borderId="0" xfId="1" applyFont="1"/>
    <xf numFmtId="169" fontId="1" fillId="0" borderId="0" xfId="1" applyNumberFormat="1"/>
    <xf numFmtId="175" fontId="1" fillId="0" borderId="0" xfId="1" applyNumberFormat="1"/>
    <xf numFmtId="176" fontId="1" fillId="0" borderId="0" xfId="1" applyNumberFormat="1"/>
    <xf numFmtId="173" fontId="1" fillId="0" borderId="0" xfId="1" applyNumberFormat="1"/>
    <xf numFmtId="173" fontId="14" fillId="0" borderId="0" xfId="1" applyNumberFormat="1" applyFont="1"/>
    <xf numFmtId="169" fontId="14" fillId="0" borderId="0" xfId="1" applyNumberFormat="1" applyFont="1"/>
    <xf numFmtId="175" fontId="14" fillId="0" borderId="0" xfId="1" applyNumberFormat="1" applyFont="1"/>
    <xf numFmtId="0" fontId="0" fillId="0" borderId="8" xfId="0" applyFill="1" applyBorder="1" applyProtection="1"/>
    <xf numFmtId="0" fontId="9" fillId="0" borderId="0" xfId="0" applyFont="1" applyFill="1" applyBorder="1" applyProtection="1"/>
    <xf numFmtId="3" fontId="3" fillId="0" borderId="0" xfId="0" applyNumberFormat="1" applyFont="1" applyFill="1" applyBorder="1" applyAlignment="1" applyProtection="1">
      <alignment horizontal="center"/>
    </xf>
    <xf numFmtId="3" fontId="8" fillId="0" borderId="0" xfId="0" applyNumberFormat="1" applyFont="1" applyFill="1" applyBorder="1" applyAlignment="1" applyProtection="1">
      <alignment horizontal="center" vertical="center"/>
    </xf>
    <xf numFmtId="164" fontId="3" fillId="0" borderId="0" xfId="0" applyNumberFormat="1" applyFont="1" applyFill="1" applyBorder="1" applyProtection="1"/>
    <xf numFmtId="3" fontId="9" fillId="0" borderId="0" xfId="0" applyNumberFormat="1" applyFont="1" applyFill="1" applyBorder="1" applyAlignment="1" applyProtection="1">
      <alignment horizontal="center" vertical="center"/>
    </xf>
    <xf numFmtId="164" fontId="9" fillId="0" borderId="0" xfId="0" applyNumberFormat="1" applyFont="1" applyFill="1" applyProtection="1"/>
    <xf numFmtId="3" fontId="19" fillId="0" borderId="0" xfId="0" applyNumberFormat="1" applyFont="1" applyFill="1" applyBorder="1" applyAlignment="1" applyProtection="1">
      <alignment horizontal="center" vertical="center"/>
    </xf>
    <xf numFmtId="169" fontId="18" fillId="0" borderId="0" xfId="1" applyNumberFormat="1" applyFont="1" applyFill="1"/>
    <xf numFmtId="177" fontId="18" fillId="0" borderId="0" xfId="1" applyNumberFormat="1" applyFont="1" applyFill="1"/>
    <xf numFmtId="0" fontId="18" fillId="0" borderId="0" xfId="1" applyNumberFormat="1" applyFont="1" applyFill="1"/>
    <xf numFmtId="9" fontId="18" fillId="0" borderId="0" xfId="1" applyNumberFormat="1" applyFont="1" applyFill="1"/>
    <xf numFmtId="0" fontId="20" fillId="0" borderId="8" xfId="1" applyFont="1" applyFill="1" applyBorder="1" applyAlignment="1">
      <alignment vertical="center"/>
    </xf>
    <xf numFmtId="0" fontId="21" fillId="0" borderId="8" xfId="1" applyFont="1" applyFill="1" applyBorder="1"/>
    <xf numFmtId="173" fontId="13" fillId="0" borderId="0" xfId="1" applyNumberFormat="1" applyFont="1" applyFill="1" applyBorder="1"/>
    <xf numFmtId="0" fontId="19" fillId="0" borderId="15" xfId="0" applyFont="1" applyBorder="1" applyProtection="1"/>
    <xf numFmtId="0" fontId="2" fillId="0" borderId="38" xfId="0" applyFont="1" applyBorder="1" applyProtection="1"/>
    <xf numFmtId="179" fontId="2" fillId="0" borderId="42" xfId="0" applyNumberFormat="1" applyFont="1" applyBorder="1" applyAlignment="1" applyProtection="1">
      <alignment horizontal="left"/>
    </xf>
    <xf numFmtId="180" fontId="9" fillId="0" borderId="0" xfId="0" applyNumberFormat="1" applyFont="1" applyFill="1" applyAlignment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69" fontId="18" fillId="14" borderId="61" xfId="1" applyNumberFormat="1" applyFont="1" applyFill="1" applyBorder="1" applyAlignment="1" applyProtection="1">
      <alignment vertical="center"/>
      <protection locked="0"/>
    </xf>
    <xf numFmtId="178" fontId="18" fillId="14" borderId="62" xfId="1" applyNumberFormat="1" applyFont="1" applyFill="1" applyBorder="1" applyAlignment="1" applyProtection="1">
      <alignment vertical="center"/>
      <protection locked="0"/>
    </xf>
    <xf numFmtId="168" fontId="18" fillId="14" borderId="63" xfId="1" applyNumberFormat="1" applyFont="1" applyFill="1" applyBorder="1" applyAlignment="1" applyProtection="1">
      <alignment vertical="center"/>
      <protection locked="0"/>
    </xf>
    <xf numFmtId="3" fontId="23" fillId="0" borderId="0" xfId="0" applyNumberFormat="1" applyFont="1" applyFill="1" applyBorder="1" applyAlignment="1" applyProtection="1">
      <alignment horizontal="center" vertical="center" wrapText="1"/>
      <protection locked="0"/>
    </xf>
    <xf numFmtId="172" fontId="18" fillId="0" borderId="64" xfId="1" applyNumberFormat="1" applyFont="1" applyFill="1" applyBorder="1" applyAlignment="1" applyProtection="1">
      <alignment vertical="center"/>
    </xf>
    <xf numFmtId="9" fontId="18" fillId="0" borderId="0" xfId="1" applyNumberFormat="1" applyFont="1" applyFill="1" applyBorder="1" applyProtection="1"/>
    <xf numFmtId="0" fontId="23" fillId="0" borderId="0" xfId="0" applyFont="1" applyFill="1" applyProtection="1">
      <protection locked="0"/>
    </xf>
    <xf numFmtId="0" fontId="2" fillId="4" borderId="39" xfId="0" applyFont="1" applyFill="1" applyBorder="1" applyAlignment="1" applyProtection="1">
      <alignment vertical="top" wrapText="1"/>
    </xf>
    <xf numFmtId="0" fontId="0" fillId="0" borderId="39" xfId="0" applyBorder="1" applyAlignment="1" applyProtection="1">
      <alignment vertical="top" wrapText="1"/>
    </xf>
    <xf numFmtId="174" fontId="13" fillId="0" borderId="0" xfId="1" applyNumberFormat="1" applyFont="1" applyFill="1" applyBorder="1" applyAlignment="1"/>
    <xf numFmtId="0" fontId="0" fillId="0" borderId="0" xfId="0" applyFill="1" applyAlignment="1"/>
    <xf numFmtId="0" fontId="9" fillId="8" borderId="13" xfId="0" applyFont="1" applyFill="1" applyBorder="1" applyAlignment="1" applyProtection="1">
      <alignment horizontal="center" vertical="center"/>
    </xf>
    <xf numFmtId="0" fontId="9" fillId="8" borderId="32" xfId="0" applyFont="1" applyFill="1" applyBorder="1" applyAlignment="1" applyProtection="1">
      <alignment horizontal="center" vertical="center"/>
    </xf>
    <xf numFmtId="0" fontId="10" fillId="9" borderId="38" xfId="0" applyFont="1" applyFill="1" applyBorder="1" applyAlignment="1" applyProtection="1">
      <alignment horizontal="center" vertical="center"/>
    </xf>
    <xf numFmtId="0" fontId="9" fillId="0" borderId="38" xfId="0" applyFont="1" applyBorder="1" applyAlignment="1" applyProtection="1">
      <alignment horizontal="center" vertical="center"/>
    </xf>
    <xf numFmtId="0" fontId="9" fillId="0" borderId="42" xfId="0" applyFont="1" applyBorder="1" applyAlignment="1" applyProtection="1">
      <alignment horizontal="center" vertical="center"/>
    </xf>
    <xf numFmtId="0" fontId="7" fillId="0" borderId="16" xfId="0" applyFont="1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0" fontId="7" fillId="0" borderId="53" xfId="0" applyFont="1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9" fillId="8" borderId="16" xfId="0" applyFont="1" applyFill="1" applyBorder="1" applyAlignment="1" applyProtection="1">
      <alignment horizontal="left" vertical="center"/>
    </xf>
    <xf numFmtId="0" fontId="9" fillId="8" borderId="12" xfId="0" applyFont="1" applyFill="1" applyBorder="1" applyAlignment="1" applyProtection="1">
      <alignment horizontal="left" vertical="center"/>
    </xf>
    <xf numFmtId="0" fontId="9" fillId="8" borderId="8" xfId="0" applyFont="1" applyFill="1" applyBorder="1" applyAlignment="1" applyProtection="1">
      <alignment horizontal="center" vertical="center"/>
    </xf>
    <xf numFmtId="0" fontId="9" fillId="8" borderId="39" xfId="0" applyFont="1" applyFill="1" applyBorder="1" applyAlignment="1" applyProtection="1">
      <alignment horizontal="center" vertical="center"/>
    </xf>
    <xf numFmtId="0" fontId="10" fillId="9" borderId="38" xfId="0" applyFont="1" applyFill="1" applyBorder="1" applyAlignment="1" applyProtection="1">
      <alignment horizontal="center"/>
    </xf>
    <xf numFmtId="0" fontId="0" fillId="0" borderId="38" xfId="0" applyBorder="1" applyAlignment="1" applyProtection="1">
      <alignment horizontal="center"/>
    </xf>
    <xf numFmtId="3" fontId="23" fillId="17" borderId="16" xfId="0" applyNumberFormat="1" applyFont="1" applyFill="1" applyBorder="1" applyAlignment="1" applyProtection="1">
      <alignment horizontal="center" vertical="center" wrapText="1"/>
    </xf>
    <xf numFmtId="0" fontId="23" fillId="17" borderId="12" xfId="0" applyFont="1" applyFill="1" applyBorder="1" applyAlignment="1">
      <alignment wrapText="1"/>
    </xf>
    <xf numFmtId="0" fontId="23" fillId="17" borderId="8" xfId="0" applyFont="1" applyFill="1" applyBorder="1" applyAlignment="1">
      <alignment wrapText="1"/>
    </xf>
    <xf numFmtId="0" fontId="23" fillId="17" borderId="39" xfId="0" applyFont="1" applyFill="1" applyBorder="1" applyAlignment="1">
      <alignment wrapText="1"/>
    </xf>
    <xf numFmtId="0" fontId="23" fillId="17" borderId="13" xfId="0" applyFont="1" applyFill="1" applyBorder="1" applyAlignment="1">
      <alignment wrapText="1"/>
    </xf>
    <xf numFmtId="0" fontId="23" fillId="17" borderId="32" xfId="0" applyFont="1" applyFill="1" applyBorder="1" applyAlignment="1">
      <alignment wrapText="1"/>
    </xf>
    <xf numFmtId="169" fontId="2" fillId="0" borderId="38" xfId="0" applyNumberFormat="1" applyFont="1" applyBorder="1" applyAlignment="1" applyProtection="1"/>
    <xf numFmtId="0" fontId="0" fillId="0" borderId="38" xfId="0" applyBorder="1" applyAlignment="1"/>
    <xf numFmtId="0" fontId="22" fillId="0" borderId="8" xfId="0" applyFont="1" applyFill="1" applyBorder="1" applyAlignment="1" applyProtection="1">
      <alignment vertical="center"/>
    </xf>
    <xf numFmtId="0" fontId="0" fillId="0" borderId="0" xfId="0" applyAlignment="1"/>
    <xf numFmtId="0" fontId="15" fillId="0" borderId="0" xfId="1" applyFont="1" applyAlignment="1">
      <alignment horizontal="center"/>
    </xf>
    <xf numFmtId="0" fontId="16" fillId="0" borderId="0" xfId="1" applyFont="1" applyAlignment="1">
      <alignment horizontal="center"/>
    </xf>
  </cellXfs>
  <cellStyles count="2">
    <cellStyle name="Normal" xfId="0" builtinId="0"/>
    <cellStyle name="Normal 2" xfId="1" xr:uid="{5C75BC50-E4E7-DE41-B32A-B7F571610658}"/>
  </cellStyles>
  <dxfs count="2"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colors>
    <mruColors>
      <color rgb="FF06B050"/>
      <color rgb="FF99FF99"/>
      <color rgb="FFFF00FF"/>
      <color rgb="FFCCFFCC"/>
      <color rgb="FF00FF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LIMITS</a:t>
            </a:r>
          </a:p>
        </c:rich>
      </c:tx>
      <c:layout>
        <c:manualLayout>
          <c:xMode val="edge"/>
          <c:yMode val="edge"/>
          <c:x val="0.25085544144500405"/>
          <c:y val="3.08817647794025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659459608932941"/>
          <c:y val="0.15278372450803732"/>
          <c:w val="0.79969667517463361"/>
          <c:h val="0.70703106554251316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Definitions!$C$3:$C$7</c:f>
              <c:numCache>
                <c:formatCode>0.000</c:formatCode>
                <c:ptCount val="5"/>
                <c:pt idx="0">
                  <c:v>33</c:v>
                </c:pt>
                <c:pt idx="1">
                  <c:v>33</c:v>
                </c:pt>
                <c:pt idx="2">
                  <c:v>41</c:v>
                </c:pt>
                <c:pt idx="3">
                  <c:v>46</c:v>
                </c:pt>
                <c:pt idx="4">
                  <c:v>46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1800</c:v>
                </c:pt>
                <c:pt idx="1">
                  <c:v>2250</c:v>
                </c:pt>
                <c:pt idx="2">
                  <c:v>3100</c:v>
                </c:pt>
                <c:pt idx="3">
                  <c:v>3100</c:v>
                </c:pt>
                <c:pt idx="4">
                  <c:v>1800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99-453C-84B4-AD576539F270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Definitions!$C$10:$C$11</c:f>
              <c:numCache>
                <c:formatCode>0.000</c:formatCode>
                <c:ptCount val="2"/>
                <c:pt idx="0">
                  <c:v>37.689969604863222</c:v>
                </c:pt>
                <c:pt idx="1">
                  <c:v>37.689969604863222</c:v>
                </c:pt>
              </c:numCache>
            </c:numRef>
          </c:xVal>
          <c:yVal>
            <c:numRef>
              <c:f>Definitions!$B$10:$B$11</c:f>
              <c:numCache>
                <c:formatCode>0.0</c:formatCode>
                <c:ptCount val="2"/>
                <c:pt idx="0">
                  <c:v>1974</c:v>
                </c:pt>
                <c:pt idx="1">
                  <c:v>1974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A99-453C-84B4-AD576539F270}"/>
            </c:ext>
          </c:extLst>
        </c:ser>
        <c:ser>
          <c:idx val="2"/>
          <c:order val="2"/>
          <c:xVal>
            <c:numRef>
              <c:f>Definitions!$C$8:$C$9</c:f>
              <c:numCache>
                <c:formatCode>0.000</c:formatCode>
                <c:ptCount val="2"/>
                <c:pt idx="0">
                  <c:v>39.5</c:v>
                </c:pt>
                <c:pt idx="1">
                  <c:v>46</c:v>
                </c:pt>
              </c:numCache>
            </c:numRef>
          </c:xVal>
          <c:yVal>
            <c:numRef>
              <c:f>Definitions!$B$8:$B$9</c:f>
              <c:numCache>
                <c:formatCode>0.0</c:formatCode>
                <c:ptCount val="2"/>
                <c:pt idx="0">
                  <c:v>2950</c:v>
                </c:pt>
                <c:pt idx="1">
                  <c:v>2950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0D-4AE8-A338-9E404081EC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596992"/>
        <c:axId val="127279488"/>
      </c:scatterChart>
      <c:valAx>
        <c:axId val="126596992"/>
        <c:scaling>
          <c:orientation val="minMax"/>
          <c:max val="47"/>
          <c:min val="32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AIRPLANE C.G. LOCATION IN.LBS</a:t>
                </a:r>
              </a:p>
            </c:rich>
          </c:tx>
          <c:layout>
            <c:manualLayout>
              <c:xMode val="edge"/>
              <c:yMode val="edge"/>
              <c:x val="0.31622993211520639"/>
              <c:y val="0.91832770903637051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279488"/>
        <c:crosses val="autoZero"/>
        <c:crossBetween val="midCat"/>
        <c:majorUnit val="1"/>
        <c:minorUnit val="0.2"/>
      </c:valAx>
      <c:valAx>
        <c:axId val="127279488"/>
        <c:scaling>
          <c:orientation val="minMax"/>
          <c:max val="3200"/>
          <c:min val="18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LOADES AIRPLANE WEIGHT LBS</a:t>
                </a:r>
              </a:p>
            </c:rich>
          </c:tx>
          <c:layout>
            <c:manualLayout>
              <c:xMode val="edge"/>
              <c:yMode val="edge"/>
              <c:x val="2.8886317201487186E-2"/>
              <c:y val="0.2535560138316044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6596992"/>
        <c:crosses val="autoZero"/>
        <c:crossBetween val="midCat"/>
        <c:majorUnit val="10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MOMENT ENVELOPE</a:t>
            </a:r>
          </a:p>
        </c:rich>
      </c:tx>
      <c:layout>
        <c:manualLayout>
          <c:xMode val="edge"/>
          <c:yMode val="edge"/>
          <c:x val="0.24094619987422664"/>
          <c:y val="3.42064163467169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60322024120685"/>
          <c:y val="0.16675574559059331"/>
          <c:w val="0.8248344470642921"/>
          <c:h val="0.67557455905932662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Definitions!$D$3:$D$7</c:f>
              <c:numCache>
                <c:formatCode>0.0</c:formatCode>
                <c:ptCount val="5"/>
                <c:pt idx="0">
                  <c:v>59.4</c:v>
                </c:pt>
                <c:pt idx="1">
                  <c:v>74.25</c:v>
                </c:pt>
                <c:pt idx="2">
                  <c:v>127.1</c:v>
                </c:pt>
                <c:pt idx="3">
                  <c:v>142.6</c:v>
                </c:pt>
                <c:pt idx="4">
                  <c:v>82.8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1800</c:v>
                </c:pt>
                <c:pt idx="1">
                  <c:v>2250</c:v>
                </c:pt>
                <c:pt idx="2">
                  <c:v>3100</c:v>
                </c:pt>
                <c:pt idx="3">
                  <c:v>3100</c:v>
                </c:pt>
                <c:pt idx="4">
                  <c:v>1800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DF-40B3-8285-310DF43ADF2E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Definitions!$D$10:$D$11</c:f>
              <c:numCache>
                <c:formatCode>0.0</c:formatCode>
                <c:ptCount val="2"/>
                <c:pt idx="0">
                  <c:v>74.400000000000006</c:v>
                </c:pt>
                <c:pt idx="1">
                  <c:v>74.400000000000006</c:v>
                </c:pt>
              </c:numCache>
            </c:numRef>
          </c:xVal>
          <c:yVal>
            <c:numRef>
              <c:f>Definitions!$B$10:$B$11</c:f>
              <c:numCache>
                <c:formatCode>0.0</c:formatCode>
                <c:ptCount val="2"/>
                <c:pt idx="0">
                  <c:v>1974</c:v>
                </c:pt>
                <c:pt idx="1">
                  <c:v>1974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DF-40B3-8285-310DF43ADF2E}"/>
            </c:ext>
          </c:extLst>
        </c:ser>
        <c:ser>
          <c:idx val="2"/>
          <c:order val="2"/>
          <c:xVal>
            <c:numRef>
              <c:f>Definitions!$D$8:$D$9</c:f>
              <c:numCache>
                <c:formatCode>0.0</c:formatCode>
                <c:ptCount val="2"/>
                <c:pt idx="0">
                  <c:v>116.52500000000001</c:v>
                </c:pt>
                <c:pt idx="1">
                  <c:v>135.69999999999999</c:v>
                </c:pt>
              </c:numCache>
            </c:numRef>
          </c:xVal>
          <c:yVal>
            <c:numRef>
              <c:f>Definitions!$B$8:$B$9</c:f>
              <c:numCache>
                <c:formatCode>0.0</c:formatCode>
                <c:ptCount val="2"/>
                <c:pt idx="0">
                  <c:v>2950</c:v>
                </c:pt>
                <c:pt idx="1">
                  <c:v>2950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8F8-44BF-A39F-45B0DECDFA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342464"/>
        <c:axId val="127353216"/>
      </c:scatterChart>
      <c:valAx>
        <c:axId val="127342464"/>
        <c:scaling>
          <c:orientation val="minMax"/>
          <c:max val="145"/>
          <c:min val="5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MOMNET/1000 LBS-IN</a:t>
                </a:r>
              </a:p>
            </c:rich>
          </c:tx>
          <c:layout>
            <c:manualLayout>
              <c:xMode val="edge"/>
              <c:yMode val="edge"/>
              <c:x val="0.32963808146650247"/>
              <c:y val="0.9107429882215136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353216"/>
        <c:crosses val="autoZero"/>
        <c:crossBetween val="midCat"/>
        <c:majorUnit val="5"/>
        <c:minorUnit val="1"/>
      </c:valAx>
      <c:valAx>
        <c:axId val="127353216"/>
        <c:scaling>
          <c:orientation val="minMax"/>
          <c:max val="3200"/>
          <c:min val="18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WEIGHT LBS</a:t>
                </a:r>
              </a:p>
            </c:rich>
          </c:tx>
          <c:layout>
            <c:manualLayout>
              <c:xMode val="edge"/>
              <c:yMode val="edge"/>
              <c:x val="2.8085684052764567E-2"/>
              <c:y val="0.2672368820632958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342464"/>
        <c:crosses val="autoZero"/>
        <c:crossBetween val="midCat"/>
        <c:majorUnit val="10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trlProps/ctrlProp1.xml><?xml version="1.0" encoding="utf-8"?>
<formControlPr xmlns="http://schemas.microsoft.com/office/spreadsheetml/2009/9/main" objectType="Scroll" dx="22" fmlaLink="$C$4" horiz="1" max="480" noThreeD="1" page="10" val="0"/>
</file>

<file path=xl/ctrlProps/ctrlProp10.xml><?xml version="1.0" encoding="utf-8"?>
<formControlPr xmlns="http://schemas.microsoft.com/office/spreadsheetml/2009/9/main" objectType="Scroll" dx="22" fmlaLink="$E$27" horiz="1" max="40" noThreeD="1" page="10" val="10"/>
</file>

<file path=xl/ctrlProps/ctrlProp11.xml><?xml version="1.0" encoding="utf-8"?>
<formControlPr xmlns="http://schemas.microsoft.com/office/spreadsheetml/2009/9/main" objectType="Scroll" dx="22" fmlaLink="$D$28" horiz="1" max="50" noThreeD="1" page="10" val="15"/>
</file>

<file path=xl/ctrlProps/ctrlProp2.xml><?xml version="1.0" encoding="utf-8"?>
<formControlPr xmlns="http://schemas.microsoft.com/office/spreadsheetml/2009/9/main" objectType="Scroll" dx="22" fmlaLink="$C$5" horiz="1" max="670" noThreeD="1" page="10" val="0"/>
</file>

<file path=xl/ctrlProps/ctrlProp3.xml><?xml version="1.0" encoding="utf-8"?>
<formControlPr xmlns="http://schemas.microsoft.com/office/spreadsheetml/2009/9/main" objectType="Scroll" dx="22" fmlaLink="$C$6" horiz="1" max="670" noThreeD="1" page="10" val="0"/>
</file>

<file path=xl/ctrlProps/ctrlProp4.xml><?xml version="1.0" encoding="utf-8"?>
<formControlPr xmlns="http://schemas.microsoft.com/office/spreadsheetml/2009/9/main" objectType="Scroll" dx="22" fmlaLink="$C$7" horiz="1" max="120" noThreeD="1" page="10" val="0"/>
</file>

<file path=xl/ctrlProps/ctrlProp5.xml><?xml version="1.0" encoding="utf-8"?>
<formControlPr xmlns="http://schemas.microsoft.com/office/spreadsheetml/2009/9/main" objectType="Scroll" dx="22" fmlaLink="$C$8" horiz="1" max="80" noThreeD="1" page="10" val="0"/>
</file>

<file path=xl/ctrlProps/ctrlProp6.xml><?xml version="1.0" encoding="utf-8"?>
<formControlPr xmlns="http://schemas.microsoft.com/office/spreadsheetml/2009/9/main" objectType="Scroll" dx="22" fmlaLink="$C$9" horiz="1" max="80" noThreeD="1" page="10" val="0"/>
</file>

<file path=xl/ctrlProps/ctrlProp7.xml><?xml version="1.0" encoding="utf-8"?>
<formControlPr xmlns="http://schemas.microsoft.com/office/spreadsheetml/2009/9/main" objectType="Scroll" dx="22" fmlaLink="$C$24" horiz="1" max="8000" noThreeD="1" page="10" val="2146"/>
</file>

<file path=xl/ctrlProps/ctrlProp8.xml><?xml version="1.0" encoding="utf-8"?>
<formControlPr xmlns="http://schemas.microsoft.com/office/spreadsheetml/2009/9/main" objectType="Scroll" dx="22" fmlaLink="$C$25" horiz="1" max="1050" min="900" noThreeD="1" page="10" val="1013"/>
</file>

<file path=xl/ctrlProps/ctrlProp9.xml><?xml version="1.0" encoding="utf-8"?>
<formControlPr xmlns="http://schemas.microsoft.com/office/spreadsheetml/2009/9/main" objectType="Scroll" dx="22" fmlaLink="$C$26" horiz="1" max="40" noThreeD="1" page="10" val="2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693420</xdr:colOff>
      <xdr:row>6</xdr:row>
      <xdr:rowOff>236220</xdr:rowOff>
    </xdr:from>
    <xdr:to>
      <xdr:col>1</xdr:col>
      <xdr:colOff>22860</xdr:colOff>
      <xdr:row>14</xdr:row>
      <xdr:rowOff>160020</xdr:rowOff>
    </xdr:to>
    <xdr:sp macro="" textlink="">
      <xdr:nvSpPr>
        <xdr:cNvPr id="1087" name="Line 2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ShapeType="1"/>
        </xdr:cNvSpPr>
      </xdr:nvSpPr>
      <xdr:spPr bwMode="auto">
        <a:xfrm flipV="1">
          <a:off x="693420" y="1554480"/>
          <a:ext cx="777240" cy="138684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657859</xdr:colOff>
      <xdr:row>0</xdr:row>
      <xdr:rowOff>1693</xdr:rowOff>
    </xdr:from>
    <xdr:to>
      <xdr:col>14</xdr:col>
      <xdr:colOff>872066</xdr:colOff>
      <xdr:row>32</xdr:row>
      <xdr:rowOff>3255</xdr:rowOff>
    </xdr:to>
    <xdr:graphicFrame macro="">
      <xdr:nvGraphicFramePr>
        <xdr:cNvPr id="1088" name="Diagramm 4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50800</xdr:colOff>
      <xdr:row>8</xdr:row>
      <xdr:rowOff>50800</xdr:rowOff>
    </xdr:from>
    <xdr:to>
      <xdr:col>1</xdr:col>
      <xdr:colOff>1498600</xdr:colOff>
      <xdr:row>8</xdr:row>
      <xdr:rowOff>203200</xdr:rowOff>
    </xdr:to>
    <xdr:sp macro="" textlink="">
      <xdr:nvSpPr>
        <xdr:cNvPr id="1070" name="ScrollBar5" hidden="1">
          <a:extLst>
            <a:ext uri="{63B3BB69-23CF-44E3-9099-C40C66FF867C}">
              <a14:compatExt xmlns:a14="http://schemas.microsoft.com/office/drawing/2010/main" spid="_x0000_s1070"/>
            </a:ex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1</xdr:col>
      <xdr:colOff>50800</xdr:colOff>
      <xdr:row>3</xdr:row>
      <xdr:rowOff>50800</xdr:rowOff>
    </xdr:from>
    <xdr:to>
      <xdr:col>1</xdr:col>
      <xdr:colOff>1498600</xdr:colOff>
      <xdr:row>3</xdr:row>
      <xdr:rowOff>206248</xdr:rowOff>
    </xdr:to>
    <xdr:sp macro="" textlink="">
      <xdr:nvSpPr>
        <xdr:cNvPr id="1071" name="ScrollBar1" hidden="1">
          <a:extLst>
            <a:ext uri="{63B3BB69-23CF-44E3-9099-C40C66FF867C}">
              <a14:compatExt xmlns:a14="http://schemas.microsoft.com/office/drawing/2010/main" spid="_x0000_s107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1</xdr:col>
      <xdr:colOff>50800</xdr:colOff>
      <xdr:row>4</xdr:row>
      <xdr:rowOff>50800</xdr:rowOff>
    </xdr:from>
    <xdr:to>
      <xdr:col>1</xdr:col>
      <xdr:colOff>1498600</xdr:colOff>
      <xdr:row>4</xdr:row>
      <xdr:rowOff>203200</xdr:rowOff>
    </xdr:to>
    <xdr:sp macro="" textlink="">
      <xdr:nvSpPr>
        <xdr:cNvPr id="1073" name="ScrollBar2" hidden="1">
          <a:extLst>
            <a:ext uri="{63B3BB69-23CF-44E3-9099-C40C66FF867C}">
              <a14:compatExt xmlns:a14="http://schemas.microsoft.com/office/drawing/2010/main" spid="_x0000_s1073"/>
            </a:ex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1</xdr:col>
      <xdr:colOff>50800</xdr:colOff>
      <xdr:row>5</xdr:row>
      <xdr:rowOff>50800</xdr:rowOff>
    </xdr:from>
    <xdr:to>
      <xdr:col>1</xdr:col>
      <xdr:colOff>1498600</xdr:colOff>
      <xdr:row>5</xdr:row>
      <xdr:rowOff>203200</xdr:rowOff>
    </xdr:to>
    <xdr:sp macro="" textlink="">
      <xdr:nvSpPr>
        <xdr:cNvPr id="1074" name="ScrollBar3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1</xdr:col>
      <xdr:colOff>50800</xdr:colOff>
      <xdr:row>6</xdr:row>
      <xdr:rowOff>50800</xdr:rowOff>
    </xdr:from>
    <xdr:to>
      <xdr:col>1</xdr:col>
      <xdr:colOff>1498600</xdr:colOff>
      <xdr:row>6</xdr:row>
      <xdr:rowOff>203200</xdr:rowOff>
    </xdr:to>
    <xdr:sp macro="" textlink="">
      <xdr:nvSpPr>
        <xdr:cNvPr id="1076" name="ScrollBar4" hidden="1">
          <a:extLst>
            <a:ext uri="{63B3BB69-23CF-44E3-9099-C40C66FF867C}">
              <a14:compatExt xmlns:a14="http://schemas.microsoft.com/office/drawing/2010/main" spid="_x0000_s1076"/>
            </a:ex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1</xdr:col>
      <xdr:colOff>50800</xdr:colOff>
      <xdr:row>7</xdr:row>
      <xdr:rowOff>50800</xdr:rowOff>
    </xdr:from>
    <xdr:to>
      <xdr:col>1</xdr:col>
      <xdr:colOff>1498600</xdr:colOff>
      <xdr:row>7</xdr:row>
      <xdr:rowOff>203200</xdr:rowOff>
    </xdr:to>
    <xdr:sp macro="" textlink="">
      <xdr:nvSpPr>
        <xdr:cNvPr id="1077" name="ScrollBar6" hidden="1">
          <a:extLst>
            <a:ext uri="{63B3BB69-23CF-44E3-9099-C40C66FF867C}">
              <a14:compatExt xmlns:a14="http://schemas.microsoft.com/office/drawing/2010/main" spid="_x0000_s1077"/>
            </a:ex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>
    <xdr:from>
      <xdr:col>0</xdr:col>
      <xdr:colOff>685800</xdr:colOff>
      <xdr:row>9</xdr:row>
      <xdr:rowOff>101599</xdr:rowOff>
    </xdr:from>
    <xdr:to>
      <xdr:col>2</xdr:col>
      <xdr:colOff>143933</xdr:colOff>
      <xdr:row>17</xdr:row>
      <xdr:rowOff>57147</xdr:rowOff>
    </xdr:to>
    <xdr:sp macro="" textlink="">
      <xdr:nvSpPr>
        <xdr:cNvPr id="19" name="Line 2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ShapeType="1"/>
        </xdr:cNvSpPr>
      </xdr:nvSpPr>
      <xdr:spPr bwMode="auto">
        <a:xfrm flipV="1">
          <a:off x="685800" y="2167466"/>
          <a:ext cx="2895600" cy="1691214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447675</xdr:colOff>
      <xdr:row>6</xdr:row>
      <xdr:rowOff>85725</xdr:rowOff>
    </xdr:from>
    <xdr:to>
      <xdr:col>11</xdr:col>
      <xdr:colOff>342900</xdr:colOff>
      <xdr:row>7</xdr:row>
      <xdr:rowOff>161925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15325" y="1371600"/>
          <a:ext cx="657225" cy="314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600" b="1">
              <a:solidFill>
                <a:srgbClr val="FF00FF"/>
              </a:solidFill>
            </a:rPr>
            <a:t>MLW</a:t>
          </a:r>
        </a:p>
      </xdr:txBody>
    </xdr:sp>
    <xdr:clientData/>
  </xdr:twoCellAnchor>
  <xdr:twoCellAnchor>
    <xdr:from>
      <xdr:col>10</xdr:col>
      <xdr:colOff>695326</xdr:colOff>
      <xdr:row>4</xdr:row>
      <xdr:rowOff>142876</xdr:rowOff>
    </xdr:from>
    <xdr:to>
      <xdr:col>11</xdr:col>
      <xdr:colOff>733426</xdr:colOff>
      <xdr:row>5</xdr:row>
      <xdr:rowOff>190501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62976" y="952501"/>
          <a:ext cx="800100" cy="285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600" b="1">
              <a:solidFill>
                <a:srgbClr val="FF00FF"/>
              </a:solidFill>
            </a:rPr>
            <a:t>MTOW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3</xdr:row>
          <xdr:rowOff>25400</xdr:rowOff>
        </xdr:from>
        <xdr:to>
          <xdr:col>1</xdr:col>
          <xdr:colOff>1562100</xdr:colOff>
          <xdr:row>3</xdr:row>
          <xdr:rowOff>203200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4</xdr:row>
          <xdr:rowOff>12700</xdr:rowOff>
        </xdr:from>
        <xdr:to>
          <xdr:col>1</xdr:col>
          <xdr:colOff>1562100</xdr:colOff>
          <xdr:row>4</xdr:row>
          <xdr:rowOff>203200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5</xdr:row>
          <xdr:rowOff>12700</xdr:rowOff>
        </xdr:from>
        <xdr:to>
          <xdr:col>1</xdr:col>
          <xdr:colOff>1562100</xdr:colOff>
          <xdr:row>5</xdr:row>
          <xdr:rowOff>215900</xdr:rowOff>
        </xdr:to>
        <xdr:sp macro="" textlink="">
          <xdr:nvSpPr>
            <xdr:cNvPr id="1027" name="Scroll Ba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6</xdr:row>
          <xdr:rowOff>25400</xdr:rowOff>
        </xdr:from>
        <xdr:to>
          <xdr:col>1</xdr:col>
          <xdr:colOff>1562100</xdr:colOff>
          <xdr:row>6</xdr:row>
          <xdr:rowOff>203200</xdr:rowOff>
        </xdr:to>
        <xdr:sp macro="" textlink="">
          <xdr:nvSpPr>
            <xdr:cNvPr id="1028" name="Scroll Bar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7</xdr:row>
          <xdr:rowOff>25400</xdr:rowOff>
        </xdr:from>
        <xdr:to>
          <xdr:col>1</xdr:col>
          <xdr:colOff>1562100</xdr:colOff>
          <xdr:row>7</xdr:row>
          <xdr:rowOff>215900</xdr:rowOff>
        </xdr:to>
        <xdr:sp macro="" textlink="">
          <xdr:nvSpPr>
            <xdr:cNvPr id="1029" name="Scroll Bar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8</xdr:row>
          <xdr:rowOff>38100</xdr:rowOff>
        </xdr:from>
        <xdr:to>
          <xdr:col>1</xdr:col>
          <xdr:colOff>1574800</xdr:colOff>
          <xdr:row>8</xdr:row>
          <xdr:rowOff>215900</xdr:rowOff>
        </xdr:to>
        <xdr:sp macro="" textlink="">
          <xdr:nvSpPr>
            <xdr:cNvPr id="1030" name="Scroll Bar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23</xdr:row>
          <xdr:rowOff>12700</xdr:rowOff>
        </xdr:from>
        <xdr:to>
          <xdr:col>1</xdr:col>
          <xdr:colOff>1524000</xdr:colOff>
          <xdr:row>23</xdr:row>
          <xdr:rowOff>190500</xdr:rowOff>
        </xdr:to>
        <xdr:sp macro="" textlink="">
          <xdr:nvSpPr>
            <xdr:cNvPr id="1033" name="Scroll Bar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12700</xdr:rowOff>
        </xdr:from>
        <xdr:to>
          <xdr:col>1</xdr:col>
          <xdr:colOff>1524000</xdr:colOff>
          <xdr:row>24</xdr:row>
          <xdr:rowOff>190500</xdr:rowOff>
        </xdr:to>
        <xdr:sp macro="" textlink="">
          <xdr:nvSpPr>
            <xdr:cNvPr id="1034" name="Scroll Bar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12700</xdr:rowOff>
        </xdr:from>
        <xdr:to>
          <xdr:col>1</xdr:col>
          <xdr:colOff>1524000</xdr:colOff>
          <xdr:row>25</xdr:row>
          <xdr:rowOff>190500</xdr:rowOff>
        </xdr:to>
        <xdr:sp macro="" textlink="">
          <xdr:nvSpPr>
            <xdr:cNvPr id="1035" name="Scroll Bar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12700</xdr:rowOff>
        </xdr:from>
        <xdr:to>
          <xdr:col>1</xdr:col>
          <xdr:colOff>1524000</xdr:colOff>
          <xdr:row>26</xdr:row>
          <xdr:rowOff>190500</xdr:rowOff>
        </xdr:to>
        <xdr:sp macro="" textlink="">
          <xdr:nvSpPr>
            <xdr:cNvPr id="1036" name="Scroll Bar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12700</xdr:rowOff>
        </xdr:from>
        <xdr:to>
          <xdr:col>1</xdr:col>
          <xdr:colOff>1524000</xdr:colOff>
          <xdr:row>27</xdr:row>
          <xdr:rowOff>190500</xdr:rowOff>
        </xdr:to>
        <xdr:sp macro="" textlink="">
          <xdr:nvSpPr>
            <xdr:cNvPr id="1037" name="Scroll Bar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11</xdr:row>
      <xdr:rowOff>45719</xdr:rowOff>
    </xdr:from>
    <xdr:to>
      <xdr:col>6</xdr:col>
      <xdr:colOff>365760</xdr:colOff>
      <xdr:row>37</xdr:row>
      <xdr:rowOff>9524</xdr:rowOff>
    </xdr:to>
    <xdr:graphicFrame macro="">
      <xdr:nvGraphicFramePr>
        <xdr:cNvPr id="3099" name="Diagramm 104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52"/>
  <sheetViews>
    <sheetView tabSelected="1" zoomScale="120" zoomScaleNormal="120" workbookViewId="0">
      <selection activeCell="B7" sqref="B7"/>
    </sheetView>
  </sheetViews>
  <sheetFormatPr baseColWidth="10" defaultColWidth="11.5" defaultRowHeight="13" x14ac:dyDescent="0.15"/>
  <cols>
    <col min="1" max="1" width="21.1640625" style="32" customWidth="1"/>
    <col min="2" max="2" width="23.83203125" style="32" customWidth="1"/>
    <col min="3" max="3" width="9.1640625" style="114" customWidth="1"/>
    <col min="4" max="4" width="8.6640625" style="32" customWidth="1"/>
    <col min="5" max="5" width="8.5" style="114" customWidth="1"/>
    <col min="6" max="8" width="8.5" style="32" customWidth="1"/>
    <col min="9" max="16384" width="11.5" style="32"/>
  </cols>
  <sheetData>
    <row r="1" spans="1:16" x14ac:dyDescent="0.15">
      <c r="A1" s="210" t="s">
        <v>33</v>
      </c>
      <c r="B1" s="212" t="s">
        <v>34</v>
      </c>
      <c r="C1" s="24" t="s">
        <v>14</v>
      </c>
      <c r="D1" s="25" t="s">
        <v>0</v>
      </c>
      <c r="E1" s="26" t="s">
        <v>1</v>
      </c>
      <c r="F1" s="27" t="s">
        <v>14</v>
      </c>
      <c r="G1" s="28" t="s">
        <v>0</v>
      </c>
      <c r="H1" s="29" t="s">
        <v>1</v>
      </c>
      <c r="I1" s="30"/>
      <c r="J1" s="30"/>
      <c r="K1" s="30"/>
      <c r="L1" s="30"/>
      <c r="M1" s="31"/>
      <c r="P1" s="33"/>
    </row>
    <row r="2" spans="1:16" ht="14" thickBot="1" x14ac:dyDescent="0.2">
      <c r="A2" s="211"/>
      <c r="B2" s="213"/>
      <c r="C2" s="34" t="s">
        <v>23</v>
      </c>
      <c r="D2" s="35" t="s">
        <v>24</v>
      </c>
      <c r="E2" s="36" t="s">
        <v>30</v>
      </c>
      <c r="F2" s="37" t="s">
        <v>29</v>
      </c>
      <c r="G2" s="38" t="s">
        <v>31</v>
      </c>
      <c r="H2" s="39" t="s">
        <v>32</v>
      </c>
      <c r="I2" s="31"/>
      <c r="J2" s="31"/>
      <c r="K2" s="31"/>
      <c r="L2" s="31"/>
      <c r="M2" s="31"/>
      <c r="P2" s="33"/>
    </row>
    <row r="3" spans="1:16" ht="19.25" customHeight="1" thickBot="1" x14ac:dyDescent="0.2">
      <c r="A3" s="40" t="s">
        <v>6</v>
      </c>
      <c r="B3" s="41" t="s">
        <v>46</v>
      </c>
      <c r="C3" s="42">
        <v>1974</v>
      </c>
      <c r="D3" s="43">
        <f>E3/C3</f>
        <v>37.689969604863222</v>
      </c>
      <c r="E3" s="44">
        <v>74400</v>
      </c>
      <c r="F3" s="45">
        <f t="shared" ref="F3:F9" si="0">C3*kg_lbs</f>
        <v>895.39133838000009</v>
      </c>
      <c r="G3" s="46">
        <f t="shared" ref="G3:G9" si="1">D3*m_inch</f>
        <v>0.95732522796352582</v>
      </c>
      <c r="H3" s="47">
        <f>F3*G3</f>
        <v>857.18071713120003</v>
      </c>
      <c r="I3" s="31"/>
      <c r="J3" s="31"/>
      <c r="K3" s="31"/>
      <c r="L3" s="31"/>
      <c r="M3" s="31"/>
      <c r="P3" s="33"/>
    </row>
    <row r="4" spans="1:16" ht="19.25" customHeight="1" x14ac:dyDescent="0.15">
      <c r="A4" s="48" t="s">
        <v>12</v>
      </c>
      <c r="B4" s="49"/>
      <c r="C4" s="21">
        <v>0</v>
      </c>
      <c r="D4" s="50">
        <v>46.5</v>
      </c>
      <c r="E4" s="51">
        <f t="shared" ref="E4:E9" si="2">D4*C4</f>
        <v>0</v>
      </c>
      <c r="F4" s="52">
        <f t="shared" si="0"/>
        <v>0</v>
      </c>
      <c r="G4" s="53">
        <f t="shared" si="1"/>
        <v>1.1811</v>
      </c>
      <c r="H4" s="54">
        <f>F4*G4</f>
        <v>0</v>
      </c>
      <c r="I4" s="31"/>
      <c r="J4" s="31"/>
      <c r="K4" s="31"/>
      <c r="L4" s="31"/>
      <c r="M4" s="31"/>
      <c r="P4" s="33"/>
    </row>
    <row r="5" spans="1:16" ht="19.25" customHeight="1" x14ac:dyDescent="0.15">
      <c r="A5" s="48" t="s">
        <v>25</v>
      </c>
      <c r="B5" s="49"/>
      <c r="C5" s="22">
        <v>0</v>
      </c>
      <c r="D5" s="50">
        <v>37</v>
      </c>
      <c r="E5" s="51">
        <f t="shared" si="2"/>
        <v>0</v>
      </c>
      <c r="F5" s="52">
        <f t="shared" si="0"/>
        <v>0</v>
      </c>
      <c r="G5" s="53">
        <f t="shared" si="1"/>
        <v>0.93979999999999997</v>
      </c>
      <c r="H5" s="54">
        <f t="shared" ref="H5:H9" si="3">F5*G5</f>
        <v>0</v>
      </c>
      <c r="I5" s="31"/>
      <c r="J5" s="31"/>
      <c r="K5" s="31"/>
      <c r="L5" s="31"/>
      <c r="M5" s="31"/>
      <c r="P5" s="33"/>
    </row>
    <row r="6" spans="1:16" ht="19.25" customHeight="1" x14ac:dyDescent="0.15">
      <c r="A6" s="48" t="s">
        <v>26</v>
      </c>
      <c r="B6" s="49"/>
      <c r="C6" s="22">
        <v>0</v>
      </c>
      <c r="D6" s="50">
        <v>74</v>
      </c>
      <c r="E6" s="51">
        <f t="shared" si="2"/>
        <v>0</v>
      </c>
      <c r="F6" s="52">
        <f t="shared" si="0"/>
        <v>0</v>
      </c>
      <c r="G6" s="53">
        <f t="shared" si="1"/>
        <v>1.8795999999999999</v>
      </c>
      <c r="H6" s="54">
        <f t="shared" si="3"/>
        <v>0</v>
      </c>
      <c r="I6" s="31"/>
      <c r="J6" s="31"/>
      <c r="K6" s="31"/>
      <c r="L6" s="31"/>
      <c r="M6" s="31"/>
      <c r="P6" s="33"/>
    </row>
    <row r="7" spans="1:16" ht="19.25" customHeight="1" x14ac:dyDescent="0.15">
      <c r="A7" s="48" t="s">
        <v>38</v>
      </c>
      <c r="B7" s="49"/>
      <c r="C7" s="22">
        <v>0</v>
      </c>
      <c r="D7" s="50">
        <v>97</v>
      </c>
      <c r="E7" s="51">
        <f t="shared" si="2"/>
        <v>0</v>
      </c>
      <c r="F7" s="52">
        <f t="shared" si="0"/>
        <v>0</v>
      </c>
      <c r="G7" s="53">
        <f t="shared" si="1"/>
        <v>2.4638</v>
      </c>
      <c r="H7" s="54">
        <f t="shared" si="3"/>
        <v>0</v>
      </c>
      <c r="I7" s="31"/>
      <c r="J7" s="31"/>
      <c r="K7" s="31"/>
      <c r="L7" s="31"/>
      <c r="M7" s="31"/>
      <c r="P7" s="33"/>
    </row>
    <row r="8" spans="1:16" ht="19.25" customHeight="1" x14ac:dyDescent="0.15">
      <c r="A8" s="48" t="s">
        <v>39</v>
      </c>
      <c r="B8" s="49"/>
      <c r="C8" s="22">
        <v>0</v>
      </c>
      <c r="D8" s="50">
        <v>116</v>
      </c>
      <c r="E8" s="51">
        <f t="shared" si="2"/>
        <v>0</v>
      </c>
      <c r="F8" s="52">
        <f t="shared" si="0"/>
        <v>0</v>
      </c>
      <c r="G8" s="53">
        <f t="shared" si="1"/>
        <v>2.9463999999999997</v>
      </c>
      <c r="H8" s="54">
        <f t="shared" si="3"/>
        <v>0</v>
      </c>
      <c r="I8" s="31"/>
      <c r="J8" s="31"/>
      <c r="K8" s="31"/>
      <c r="L8" s="31"/>
      <c r="M8" s="31"/>
      <c r="P8" s="33"/>
    </row>
    <row r="9" spans="1:16" ht="19.25" customHeight="1" thickBot="1" x14ac:dyDescent="0.2">
      <c r="A9" s="55" t="s">
        <v>44</v>
      </c>
      <c r="B9" s="56"/>
      <c r="C9" s="23">
        <v>0</v>
      </c>
      <c r="D9" s="57">
        <v>129</v>
      </c>
      <c r="E9" s="58">
        <f t="shared" si="2"/>
        <v>0</v>
      </c>
      <c r="F9" s="52">
        <f t="shared" si="0"/>
        <v>0</v>
      </c>
      <c r="G9" s="53">
        <f t="shared" si="1"/>
        <v>3.2765999999999997</v>
      </c>
      <c r="H9" s="54">
        <f t="shared" si="3"/>
        <v>0</v>
      </c>
      <c r="I9" s="31"/>
      <c r="J9" s="31"/>
      <c r="K9" s="31"/>
      <c r="L9" s="31"/>
      <c r="M9" s="31"/>
      <c r="P9" s="33"/>
    </row>
    <row r="10" spans="1:16" ht="19.25" customHeight="1" thickBot="1" x14ac:dyDescent="0.2">
      <c r="A10" s="59" t="s">
        <v>9</v>
      </c>
      <c r="B10" s="60" t="str">
        <f>IF(C10&lt;=C11,"Weight Iniside Limit","Weight OUTSIDE Limit")</f>
        <v>Weight Iniside Limit</v>
      </c>
      <c r="C10" s="61">
        <f>SUM(C3:C9)</f>
        <v>1974</v>
      </c>
      <c r="D10" s="62">
        <f>E10/C10</f>
        <v>37.689969604863222</v>
      </c>
      <c r="E10" s="63">
        <f>SUM(E3:E9)</f>
        <v>74400</v>
      </c>
      <c r="F10" s="64">
        <f>SUM(F3:F9)</f>
        <v>895.39133838000009</v>
      </c>
      <c r="G10" s="65">
        <f>H10/F10</f>
        <v>0.95732522796352582</v>
      </c>
      <c r="H10" s="66">
        <f>SUM(H3:H9)</f>
        <v>857.18071713120003</v>
      </c>
      <c r="I10" s="31"/>
      <c r="J10" s="31"/>
      <c r="K10" s="31"/>
      <c r="L10" s="31"/>
      <c r="M10" s="31"/>
      <c r="P10" s="33"/>
    </row>
    <row r="11" spans="1:16" ht="19.25" customHeight="1" thickBot="1" x14ac:dyDescent="0.2">
      <c r="A11" s="67"/>
      <c r="B11" s="68" t="s">
        <v>53</v>
      </c>
      <c r="C11" s="69">
        <v>3100</v>
      </c>
      <c r="D11" s="70" t="s">
        <v>23</v>
      </c>
      <c r="E11" s="71"/>
      <c r="F11" s="72">
        <f>C11*kg_lbs</f>
        <v>1406.1363470000001</v>
      </c>
      <c r="G11" s="73" t="s">
        <v>29</v>
      </c>
      <c r="H11" s="74"/>
      <c r="I11" s="31"/>
      <c r="J11" s="31"/>
      <c r="K11" s="31"/>
      <c r="L11" s="31"/>
      <c r="M11" s="31"/>
      <c r="P11" s="33"/>
    </row>
    <row r="12" spans="1:16" ht="19.25" customHeight="1" x14ac:dyDescent="0.15">
      <c r="A12" s="75"/>
      <c r="B12" s="76" t="s">
        <v>49</v>
      </c>
      <c r="C12" s="77">
        <f>SUM(C3+C5+C6+C7+C8+C9)</f>
        <v>1974</v>
      </c>
      <c r="D12" s="78" t="s">
        <v>23</v>
      </c>
      <c r="E12" s="79"/>
      <c r="F12" s="80">
        <f>F3+F5+F6+F7+F8+F9</f>
        <v>895.39133838000009</v>
      </c>
      <c r="G12" s="81" t="s">
        <v>29</v>
      </c>
      <c r="H12" s="82"/>
      <c r="I12" s="31"/>
      <c r="J12" s="31"/>
      <c r="K12" s="31"/>
      <c r="L12" s="31"/>
      <c r="M12" s="31"/>
      <c r="P12" s="33"/>
    </row>
    <row r="13" spans="1:16" ht="19.25" customHeight="1" thickBot="1" x14ac:dyDescent="0.2">
      <c r="A13" s="75"/>
      <c r="B13" s="83" t="s">
        <v>54</v>
      </c>
      <c r="C13" s="84">
        <f>C11-C10</f>
        <v>1126</v>
      </c>
      <c r="D13" s="85" t="s">
        <v>23</v>
      </c>
      <c r="E13" s="86"/>
      <c r="F13" s="87">
        <f>F11-F10</f>
        <v>510.74500862000002</v>
      </c>
      <c r="G13" s="88" t="s">
        <v>29</v>
      </c>
      <c r="H13" s="82"/>
      <c r="I13" s="31"/>
      <c r="J13" s="31"/>
      <c r="K13" s="31"/>
      <c r="L13" s="31"/>
      <c r="M13" s="31"/>
      <c r="P13" s="33"/>
    </row>
    <row r="14" spans="1:16" ht="19.25" customHeight="1" thickBot="1" x14ac:dyDescent="0.2">
      <c r="A14" s="75"/>
      <c r="B14" s="89" t="s">
        <v>45</v>
      </c>
      <c r="C14" s="90">
        <v>2950</v>
      </c>
      <c r="D14" s="91" t="s">
        <v>23</v>
      </c>
      <c r="E14" s="92"/>
      <c r="F14" s="93">
        <f>C14*kg_lbs</f>
        <v>1338.0974915000002</v>
      </c>
      <c r="G14" s="94" t="s">
        <v>29</v>
      </c>
      <c r="H14" s="82"/>
      <c r="I14" s="31"/>
      <c r="J14" s="31"/>
      <c r="K14" s="31"/>
      <c r="L14" s="31"/>
      <c r="M14" s="31"/>
      <c r="P14" s="33"/>
    </row>
    <row r="15" spans="1:16" ht="13" customHeight="1" x14ac:dyDescent="0.15">
      <c r="A15" s="33"/>
      <c r="B15" s="214" t="s">
        <v>41</v>
      </c>
      <c r="C15" s="215"/>
      <c r="D15" s="95"/>
      <c r="E15" s="95"/>
      <c r="F15" s="31"/>
      <c r="G15" s="31"/>
      <c r="H15" s="31"/>
      <c r="I15" s="31"/>
      <c r="J15" s="31"/>
      <c r="K15" s="31"/>
      <c r="L15" s="31"/>
      <c r="M15" s="31"/>
      <c r="P15" s="33"/>
    </row>
    <row r="16" spans="1:16" ht="13" customHeight="1" x14ac:dyDescent="0.15">
      <c r="A16" s="96" t="s">
        <v>21</v>
      </c>
      <c r="B16" s="216" t="s">
        <v>42</v>
      </c>
      <c r="C16" s="217"/>
      <c r="D16" s="97"/>
      <c r="E16" s="98"/>
      <c r="F16" s="31"/>
      <c r="G16" s="31"/>
      <c r="H16" s="31"/>
      <c r="I16" s="31"/>
      <c r="J16" s="31"/>
      <c r="K16" s="31"/>
      <c r="L16" s="31"/>
      <c r="M16" s="31"/>
      <c r="P16" s="33"/>
    </row>
    <row r="17" spans="1:16" ht="13" customHeight="1" x14ac:dyDescent="0.15">
      <c r="A17" s="201" t="s">
        <v>51</v>
      </c>
      <c r="B17" s="216" t="s">
        <v>40</v>
      </c>
      <c r="C17" s="217"/>
      <c r="D17" s="97"/>
      <c r="E17" s="98"/>
      <c r="F17" s="31"/>
      <c r="G17" s="31"/>
      <c r="H17" s="31"/>
      <c r="I17" s="31"/>
      <c r="J17" s="31"/>
      <c r="K17" s="31"/>
      <c r="L17" s="31"/>
      <c r="M17" s="31"/>
      <c r="P17" s="33"/>
    </row>
    <row r="18" spans="1:16" ht="13" customHeight="1" thickBot="1" x14ac:dyDescent="0.2">
      <c r="A18" s="202"/>
      <c r="B18" s="205" t="s">
        <v>43</v>
      </c>
      <c r="C18" s="206"/>
      <c r="D18" s="97"/>
      <c r="E18" s="98"/>
      <c r="F18" s="31"/>
      <c r="G18" s="31"/>
      <c r="H18" s="31"/>
      <c r="I18" s="31"/>
      <c r="J18" s="31"/>
      <c r="K18" s="31"/>
      <c r="L18" s="31"/>
      <c r="M18" s="31"/>
      <c r="P18" s="33"/>
    </row>
    <row r="19" spans="1:16" ht="13" customHeight="1" x14ac:dyDescent="0.15">
      <c r="A19" s="33"/>
      <c r="B19" s="99" t="s">
        <v>12</v>
      </c>
      <c r="C19" s="100" t="s">
        <v>23</v>
      </c>
      <c r="D19" s="100" t="s">
        <v>28</v>
      </c>
      <c r="E19" s="101" t="s">
        <v>13</v>
      </c>
      <c r="F19" s="102" t="s">
        <v>29</v>
      </c>
      <c r="G19" s="31"/>
      <c r="H19" s="31"/>
      <c r="I19" s="31"/>
      <c r="J19" s="31"/>
      <c r="K19" s="31"/>
      <c r="L19" s="31"/>
      <c r="M19" s="31"/>
      <c r="P19" s="33"/>
    </row>
    <row r="20" spans="1:16" ht="13" customHeight="1" x14ac:dyDescent="0.15">
      <c r="A20" s="33"/>
      <c r="B20" s="103" t="s">
        <v>48</v>
      </c>
      <c r="C20" s="104">
        <f>D20*lbs_gal</f>
        <v>480.69529643631347</v>
      </c>
      <c r="D20" s="105">
        <v>80</v>
      </c>
      <c r="E20" s="106">
        <f>D20*liter_gal</f>
        <v>302.83294272000001</v>
      </c>
      <c r="F20" s="107">
        <f>D20*kg_gal</f>
        <v>218.0397187584</v>
      </c>
      <c r="G20" s="31"/>
      <c r="H20" s="31"/>
      <c r="I20" s="31"/>
      <c r="J20" s="31"/>
      <c r="K20" s="31"/>
      <c r="L20" s="31"/>
      <c r="M20" s="31"/>
      <c r="P20" s="33"/>
    </row>
    <row r="21" spans="1:16" ht="13" customHeight="1" thickBot="1" x14ac:dyDescent="0.2">
      <c r="A21" s="33"/>
      <c r="B21" s="108" t="s">
        <v>52</v>
      </c>
      <c r="C21" s="109">
        <f>F21/kg_lbs</f>
        <v>0</v>
      </c>
      <c r="D21" s="110">
        <f>C4/lbs_gal</f>
        <v>0</v>
      </c>
      <c r="E21" s="111">
        <f>(+C4)*kg_lbs/liter_kg</f>
        <v>0</v>
      </c>
      <c r="F21" s="112">
        <f>F4</f>
        <v>0</v>
      </c>
      <c r="G21" s="31"/>
      <c r="H21" s="31"/>
      <c r="I21" s="31"/>
      <c r="J21" s="31"/>
      <c r="K21" s="31"/>
      <c r="L21" s="31"/>
      <c r="M21" s="31"/>
      <c r="P21" s="33"/>
    </row>
    <row r="22" spans="1:16" ht="13" customHeight="1" x14ac:dyDescent="0.15">
      <c r="A22" s="174"/>
      <c r="B22" s="175"/>
      <c r="C22" s="176"/>
      <c r="D22" s="79"/>
      <c r="E22" s="177"/>
      <c r="F22" s="86"/>
      <c r="G22" s="31"/>
      <c r="H22" s="31"/>
      <c r="I22" s="31"/>
      <c r="J22" s="31"/>
      <c r="K22" s="31"/>
      <c r="L22" s="31"/>
      <c r="M22" s="31"/>
      <c r="P22" s="33"/>
    </row>
    <row r="23" spans="1:16" ht="18" customHeight="1" thickBot="1" x14ac:dyDescent="0.2">
      <c r="A23" s="228" t="s">
        <v>90</v>
      </c>
      <c r="B23" s="229"/>
      <c r="C23" s="176"/>
      <c r="D23" s="79"/>
      <c r="E23" s="181"/>
      <c r="F23" s="179"/>
      <c r="G23" s="31"/>
      <c r="H23" s="31"/>
      <c r="I23" s="31"/>
      <c r="J23" s="31"/>
      <c r="K23" s="31"/>
      <c r="L23" s="31"/>
      <c r="M23" s="31"/>
      <c r="P23" s="33"/>
    </row>
    <row r="24" spans="1:16" ht="18" customHeight="1" x14ac:dyDescent="0.15">
      <c r="A24" s="186" t="s">
        <v>62</v>
      </c>
      <c r="B24" s="182"/>
      <c r="C24" s="194">
        <v>2146</v>
      </c>
      <c r="D24" s="79" t="str">
        <f>IF(C24=2146, "(LSZO)", "")</f>
        <v>(LSZO)</v>
      </c>
      <c r="E24" s="181"/>
      <c r="F24" s="220" t="s">
        <v>89</v>
      </c>
      <c r="G24" s="221"/>
      <c r="H24" s="31"/>
      <c r="I24" s="31"/>
      <c r="J24" s="31"/>
      <c r="K24" s="31"/>
      <c r="L24" s="31"/>
      <c r="M24" s="31"/>
      <c r="P24" s="33"/>
    </row>
    <row r="25" spans="1:16" ht="18" customHeight="1" x14ac:dyDescent="0.15">
      <c r="A25" s="186" t="s">
        <v>63</v>
      </c>
      <c r="B25" s="183"/>
      <c r="C25" s="195">
        <v>1013</v>
      </c>
      <c r="D25" s="192">
        <f>'Takeoff Distance Calculation'!C17</f>
        <v>2152.75</v>
      </c>
      <c r="E25" s="181"/>
      <c r="F25" s="222"/>
      <c r="G25" s="223"/>
      <c r="H25" s="31"/>
      <c r="I25" s="31"/>
      <c r="J25" s="31"/>
      <c r="K25" s="31"/>
      <c r="L25" s="31"/>
      <c r="M25" s="31"/>
      <c r="P25" s="33"/>
    </row>
    <row r="26" spans="1:16" ht="18" customHeight="1" thickBot="1" x14ac:dyDescent="0.2">
      <c r="A26" s="186" t="s">
        <v>64</v>
      </c>
      <c r="B26" s="184"/>
      <c r="C26" s="196">
        <v>20</v>
      </c>
      <c r="D26" s="79"/>
      <c r="E26" s="181"/>
      <c r="F26" s="222"/>
      <c r="G26" s="223"/>
      <c r="H26" s="31"/>
      <c r="I26" s="31"/>
      <c r="J26" s="31"/>
      <c r="K26" s="31"/>
      <c r="L26" s="31"/>
      <c r="M26" s="31"/>
      <c r="P26" s="33"/>
    </row>
    <row r="27" spans="1:16" ht="18" customHeight="1" x14ac:dyDescent="0.15">
      <c r="A27" s="186" t="s">
        <v>65</v>
      </c>
      <c r="B27" s="184"/>
      <c r="C27" s="198">
        <f>E27-10</f>
        <v>0</v>
      </c>
      <c r="D27" s="193" t="str">
        <f>'Takeoff Distance Calculation'!C19</f>
        <v>(Calm)</v>
      </c>
      <c r="E27" s="197">
        <v>10</v>
      </c>
      <c r="F27" s="222"/>
      <c r="G27" s="223"/>
      <c r="H27" s="31"/>
      <c r="I27" s="31"/>
      <c r="J27" s="31"/>
      <c r="K27" s="31"/>
      <c r="L27" s="31"/>
      <c r="M27" s="31"/>
      <c r="P27" s="33"/>
    </row>
    <row r="28" spans="1:16" ht="18" customHeight="1" x14ac:dyDescent="0.15">
      <c r="A28" s="186" t="s">
        <v>66</v>
      </c>
      <c r="B28" s="185"/>
      <c r="C28" s="199">
        <f>D28/100</f>
        <v>0.15</v>
      </c>
      <c r="D28" s="200">
        <v>15</v>
      </c>
      <c r="E28" s="180"/>
      <c r="F28" s="222"/>
      <c r="G28" s="223"/>
      <c r="H28" s="31"/>
      <c r="I28" s="31"/>
      <c r="J28" s="31"/>
      <c r="K28" s="31"/>
      <c r="L28" s="31"/>
      <c r="M28" s="31"/>
      <c r="P28" s="33"/>
    </row>
    <row r="29" spans="1:16" ht="18" customHeight="1" thickBot="1" x14ac:dyDescent="0.25">
      <c r="A29" s="187"/>
      <c r="B29" s="188"/>
      <c r="C29" s="203"/>
      <c r="D29" s="204"/>
      <c r="E29" s="178"/>
      <c r="F29" s="222"/>
      <c r="G29" s="223"/>
      <c r="H29" s="31"/>
      <c r="I29" s="31"/>
      <c r="J29" s="31"/>
      <c r="K29" s="31"/>
      <c r="L29" s="31"/>
      <c r="M29" s="31"/>
      <c r="P29" s="33"/>
    </row>
    <row r="30" spans="1:16" ht="18" customHeight="1" thickBot="1" x14ac:dyDescent="0.2">
      <c r="A30" s="189" t="s">
        <v>88</v>
      </c>
      <c r="B30" s="190"/>
      <c r="C30" s="226">
        <f>IFERROR('Takeoff Distance Calculation'!C52, "Outside Limits")</f>
        <v>577.15481249999993</v>
      </c>
      <c r="D30" s="227"/>
      <c r="E30" s="191">
        <f>IF(ISNUMBER(C30), 'Takeoff Distance Calculation'!D52, "")</f>
        <v>176.03221781249997</v>
      </c>
      <c r="F30" s="224"/>
      <c r="G30" s="225"/>
      <c r="H30" s="31"/>
      <c r="I30" s="31"/>
      <c r="J30" s="31"/>
      <c r="K30" s="31"/>
      <c r="L30" s="31"/>
      <c r="M30" s="31"/>
      <c r="P30" s="33"/>
    </row>
    <row r="31" spans="1:16" ht="13" customHeight="1" x14ac:dyDescent="0.15">
      <c r="A31" s="113"/>
      <c r="D31" s="116"/>
      <c r="F31" s="31"/>
      <c r="G31" s="31"/>
      <c r="H31" s="31"/>
      <c r="I31" s="31"/>
      <c r="J31" s="31"/>
      <c r="K31" s="31"/>
      <c r="L31" s="31"/>
      <c r="M31" s="31"/>
      <c r="P31" s="33"/>
    </row>
    <row r="32" spans="1:16" ht="13" customHeight="1" thickBot="1" x14ac:dyDescent="0.2">
      <c r="A32" s="113"/>
      <c r="D32" s="116"/>
      <c r="F32" s="31"/>
      <c r="G32" s="31"/>
      <c r="H32" s="31"/>
      <c r="I32" s="31"/>
      <c r="J32" s="31"/>
      <c r="K32" s="31"/>
      <c r="L32" s="31"/>
      <c r="M32" s="31"/>
      <c r="P32" s="33"/>
    </row>
    <row r="33" spans="1:16" ht="14" thickBot="1" x14ac:dyDescent="0.2">
      <c r="A33" s="117" t="s">
        <v>87</v>
      </c>
      <c r="B33" s="218" t="s">
        <v>47</v>
      </c>
      <c r="C33" s="219"/>
      <c r="D33" s="219"/>
      <c r="E33" s="219"/>
      <c r="F33" s="219"/>
      <c r="G33" s="118"/>
      <c r="H33" s="118"/>
      <c r="I33" s="207" t="s">
        <v>50</v>
      </c>
      <c r="J33" s="208"/>
      <c r="K33" s="208"/>
      <c r="L33" s="208"/>
      <c r="M33" s="208"/>
      <c r="N33" s="208"/>
      <c r="O33" s="209"/>
      <c r="P33" s="33"/>
    </row>
    <row r="34" spans="1:16" x14ac:dyDescent="0.15">
      <c r="D34" s="116"/>
    </row>
    <row r="35" spans="1:16" x14ac:dyDescent="0.15">
      <c r="D35" s="116"/>
      <c r="F35" s="119"/>
      <c r="G35" s="119"/>
    </row>
    <row r="36" spans="1:16" x14ac:dyDescent="0.15">
      <c r="D36" s="116"/>
      <c r="K36" s="120"/>
    </row>
    <row r="37" spans="1:16" x14ac:dyDescent="0.15">
      <c r="D37" s="116"/>
    </row>
    <row r="38" spans="1:16" x14ac:dyDescent="0.15">
      <c r="B38" s="114"/>
      <c r="D38" s="115"/>
    </row>
    <row r="39" spans="1:16" x14ac:dyDescent="0.15">
      <c r="B39" s="119"/>
      <c r="D39" s="116"/>
      <c r="J39" s="115"/>
    </row>
    <row r="40" spans="1:16" x14ac:dyDescent="0.15">
      <c r="J40" s="115"/>
    </row>
    <row r="41" spans="1:16" x14ac:dyDescent="0.15">
      <c r="A41" s="114"/>
      <c r="D41" s="116"/>
      <c r="J41" s="115"/>
    </row>
    <row r="42" spans="1:16" x14ac:dyDescent="0.15">
      <c r="A42" s="119"/>
      <c r="D42" s="115"/>
      <c r="J42" s="115"/>
    </row>
    <row r="43" spans="1:16" x14ac:dyDescent="0.15">
      <c r="D43" s="114"/>
      <c r="J43" s="115"/>
    </row>
    <row r="44" spans="1:16" x14ac:dyDescent="0.15">
      <c r="J44" s="115"/>
    </row>
    <row r="45" spans="1:16" x14ac:dyDescent="0.15">
      <c r="D45" s="114"/>
      <c r="J45" s="115"/>
    </row>
    <row r="46" spans="1:16" x14ac:dyDescent="0.15">
      <c r="D46" s="114"/>
      <c r="J46" s="115"/>
    </row>
    <row r="47" spans="1:16" x14ac:dyDescent="0.15">
      <c r="D47" s="114"/>
    </row>
    <row r="48" spans="1:16" x14ac:dyDescent="0.15">
      <c r="D48" s="114"/>
    </row>
    <row r="49" spans="4:10" x14ac:dyDescent="0.15">
      <c r="D49" s="114"/>
    </row>
    <row r="50" spans="4:10" x14ac:dyDescent="0.15">
      <c r="D50" s="114"/>
    </row>
    <row r="51" spans="4:10" x14ac:dyDescent="0.15">
      <c r="D51" s="114"/>
    </row>
    <row r="52" spans="4:10" x14ac:dyDescent="0.15">
      <c r="D52" s="114"/>
      <c r="I52" s="114"/>
      <c r="J52" s="114"/>
    </row>
  </sheetData>
  <sheetProtection algorithmName="SHA-512" hashValue="V2FhAaEcTMSj0tnkgFMxeuZbXc0sQXkFgdHhYMj+qeqfRmhRb6mXr1h3SbjhNM+rGVdXiGO1OZP9yAKYM4rjrQ==" saltValue="odM1bmHyC4A3Qu2u9UjpMA==" spinCount="100000" sheet="1" objects="1" scenarios="1"/>
  <mergeCells count="11">
    <mergeCell ref="B18:C18"/>
    <mergeCell ref="I33:O33"/>
    <mergeCell ref="A1:A2"/>
    <mergeCell ref="B1:B2"/>
    <mergeCell ref="B15:C15"/>
    <mergeCell ref="B16:C16"/>
    <mergeCell ref="B17:C17"/>
    <mergeCell ref="B33:F33"/>
    <mergeCell ref="F24:G30"/>
    <mergeCell ref="C30:D30"/>
    <mergeCell ref="A23:B23"/>
  </mergeCells>
  <phoneticPr fontId="0" type="noConversion"/>
  <conditionalFormatting sqref="B10">
    <cfRule type="cellIs" dxfId="1" priority="1" stopIfTrue="1" operator="equal">
      <formula>"Weight iniside Limit"</formula>
    </cfRule>
    <cfRule type="cellIs" dxfId="0" priority="2" stopIfTrue="1" operator="equal">
      <formula>"Weight OUTSIDE Limit"</formula>
    </cfRule>
  </conditionalFormatting>
  <pageMargins left="0.25" right="0.25" top="0.75" bottom="0.75" header="0.3" footer="0.3"/>
  <pageSetup paperSize="9" scale="76" orientation="landscape" r:id="rId1"/>
  <headerFooter alignWithMargins="0">
    <oddHeader>&amp;C&amp;D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</xdr:col>
                    <xdr:colOff>50800</xdr:colOff>
                    <xdr:row>3</xdr:row>
                    <xdr:rowOff>25400</xdr:rowOff>
                  </from>
                  <to>
                    <xdr:col>1</xdr:col>
                    <xdr:colOff>1562100</xdr:colOff>
                    <xdr:row>3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croll Bar 2">
              <controlPr defaultSize="0" autoPict="0">
                <anchor moveWithCells="1">
                  <from>
                    <xdr:col>1</xdr:col>
                    <xdr:colOff>50800</xdr:colOff>
                    <xdr:row>4</xdr:row>
                    <xdr:rowOff>12700</xdr:rowOff>
                  </from>
                  <to>
                    <xdr:col>1</xdr:col>
                    <xdr:colOff>1562100</xdr:colOff>
                    <xdr:row>4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croll Bar 3">
              <controlPr defaultSize="0" autoPict="0">
                <anchor moveWithCells="1">
                  <from>
                    <xdr:col>1</xdr:col>
                    <xdr:colOff>50800</xdr:colOff>
                    <xdr:row>5</xdr:row>
                    <xdr:rowOff>12700</xdr:rowOff>
                  </from>
                  <to>
                    <xdr:col>1</xdr:col>
                    <xdr:colOff>1562100</xdr:colOff>
                    <xdr:row>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croll Bar 4">
              <controlPr defaultSize="0" autoPict="0">
                <anchor moveWithCells="1">
                  <from>
                    <xdr:col>1</xdr:col>
                    <xdr:colOff>50800</xdr:colOff>
                    <xdr:row>6</xdr:row>
                    <xdr:rowOff>25400</xdr:rowOff>
                  </from>
                  <to>
                    <xdr:col>1</xdr:col>
                    <xdr:colOff>1562100</xdr:colOff>
                    <xdr:row>6</xdr:row>
                    <xdr:rowOff>203200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Scroll Bar 5">
              <controlPr defaultSize="0" autoPict="0">
                <anchor moveWithCells="1">
                  <from>
                    <xdr:col>1</xdr:col>
                    <xdr:colOff>50800</xdr:colOff>
                    <xdr:row>7</xdr:row>
                    <xdr:rowOff>25400</xdr:rowOff>
                  </from>
                  <to>
                    <xdr:col>1</xdr:col>
                    <xdr:colOff>1562100</xdr:colOff>
                    <xdr:row>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Scroll Bar 6">
              <controlPr defaultSize="0" autoPict="0">
                <anchor moveWithCells="1">
                  <from>
                    <xdr:col>1</xdr:col>
                    <xdr:colOff>50800</xdr:colOff>
                    <xdr:row>8</xdr:row>
                    <xdr:rowOff>38100</xdr:rowOff>
                  </from>
                  <to>
                    <xdr:col>1</xdr:col>
                    <xdr:colOff>1574800</xdr:colOff>
                    <xdr:row>8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Scroll Bar 9">
              <controlPr locked="0" defaultSize="0" autoPict="0">
                <anchor moveWithCells="1">
                  <from>
                    <xdr:col>1</xdr:col>
                    <xdr:colOff>0</xdr:colOff>
                    <xdr:row>23</xdr:row>
                    <xdr:rowOff>12700</xdr:rowOff>
                  </from>
                  <to>
                    <xdr:col>1</xdr:col>
                    <xdr:colOff>1524000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Scroll Bar 10">
              <controlPr locked="0" defaultSize="0" autoPict="0">
                <anchor moveWithCells="1">
                  <from>
                    <xdr:col>1</xdr:col>
                    <xdr:colOff>0</xdr:colOff>
                    <xdr:row>24</xdr:row>
                    <xdr:rowOff>12700</xdr:rowOff>
                  </from>
                  <to>
                    <xdr:col>1</xdr:col>
                    <xdr:colOff>1524000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Scroll Bar 11">
              <controlPr locked="0" defaultSize="0" autoPict="0">
                <anchor moveWithCells="1">
                  <from>
                    <xdr:col>1</xdr:col>
                    <xdr:colOff>0</xdr:colOff>
                    <xdr:row>25</xdr:row>
                    <xdr:rowOff>12700</xdr:rowOff>
                  </from>
                  <to>
                    <xdr:col>1</xdr:col>
                    <xdr:colOff>1524000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Scroll Bar 12">
              <controlPr locked="0" defaultSize="0" autoPict="0">
                <anchor moveWithCells="1">
                  <from>
                    <xdr:col>1</xdr:col>
                    <xdr:colOff>0</xdr:colOff>
                    <xdr:row>26</xdr:row>
                    <xdr:rowOff>12700</xdr:rowOff>
                  </from>
                  <to>
                    <xdr:col>1</xdr:col>
                    <xdr:colOff>1524000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Scroll Bar 13">
              <controlPr locked="0" defaultSize="0" autoPict="0">
                <anchor moveWithCells="1">
                  <from>
                    <xdr:col>1</xdr:col>
                    <xdr:colOff>0</xdr:colOff>
                    <xdr:row>27</xdr:row>
                    <xdr:rowOff>12700</xdr:rowOff>
                  </from>
                  <to>
                    <xdr:col>1</xdr:col>
                    <xdr:colOff>1524000</xdr:colOff>
                    <xdr:row>27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J27"/>
  <sheetViews>
    <sheetView workbookViewId="0"/>
  </sheetViews>
  <sheetFormatPr baseColWidth="10" defaultColWidth="11.5" defaultRowHeight="13" x14ac:dyDescent="0.15"/>
  <cols>
    <col min="1" max="1" width="15.5" customWidth="1"/>
  </cols>
  <sheetData>
    <row r="1" spans="1:10" s="1" customFormat="1" ht="17" thickBot="1" x14ac:dyDescent="0.25">
      <c r="A1" s="1" t="s">
        <v>35</v>
      </c>
    </row>
    <row r="2" spans="1:10" ht="17" thickBot="1" x14ac:dyDescent="0.25">
      <c r="A2" s="7"/>
      <c r="B2" s="8" t="s">
        <v>11</v>
      </c>
      <c r="C2" s="9" t="s">
        <v>0</v>
      </c>
      <c r="D2" s="8" t="s">
        <v>10</v>
      </c>
      <c r="G2" s="1" t="s">
        <v>15</v>
      </c>
    </row>
    <row r="3" spans="1:10" x14ac:dyDescent="0.15">
      <c r="A3" s="10" t="s">
        <v>2</v>
      </c>
      <c r="B3" s="5">
        <v>1800</v>
      </c>
      <c r="C3" s="17">
        <v>33</v>
      </c>
      <c r="D3" s="5">
        <f t="shared" ref="D3:D9" si="0">(B3*C3)/1000</f>
        <v>59.4</v>
      </c>
      <c r="G3" s="2" t="s">
        <v>16</v>
      </c>
      <c r="H3" s="13">
        <v>0.45359237000000002</v>
      </c>
    </row>
    <row r="4" spans="1:10" x14ac:dyDescent="0.15">
      <c r="A4" s="10" t="s">
        <v>27</v>
      </c>
      <c r="B4" s="5">
        <v>2250</v>
      </c>
      <c r="C4" s="17">
        <v>33</v>
      </c>
      <c r="D4" s="5">
        <f t="shared" si="0"/>
        <v>74.25</v>
      </c>
      <c r="G4" s="3" t="s">
        <v>18</v>
      </c>
      <c r="H4" s="14">
        <f>+H5/H3</f>
        <v>6.0086912054539185</v>
      </c>
    </row>
    <row r="5" spans="1:10" x14ac:dyDescent="0.15">
      <c r="A5" s="10" t="s">
        <v>3</v>
      </c>
      <c r="B5" s="5">
        <v>3100</v>
      </c>
      <c r="C5" s="17">
        <v>41</v>
      </c>
      <c r="D5" s="5">
        <f t="shared" si="0"/>
        <v>127.1</v>
      </c>
      <c r="G5" s="3" t="s">
        <v>20</v>
      </c>
      <c r="H5" s="14">
        <v>2.7254964844799998</v>
      </c>
    </row>
    <row r="6" spans="1:10" x14ac:dyDescent="0.15">
      <c r="A6" s="10" t="s">
        <v>4</v>
      </c>
      <c r="B6" s="5">
        <v>3100</v>
      </c>
      <c r="C6" s="17">
        <v>46</v>
      </c>
      <c r="D6" s="5">
        <f t="shared" si="0"/>
        <v>142.6</v>
      </c>
      <c r="G6" s="3" t="s">
        <v>22</v>
      </c>
      <c r="H6" s="14">
        <v>0.72</v>
      </c>
    </row>
    <row r="7" spans="1:10" x14ac:dyDescent="0.15">
      <c r="A7" s="10" t="s">
        <v>5</v>
      </c>
      <c r="B7" s="5">
        <v>1800</v>
      </c>
      <c r="C7" s="17">
        <v>46</v>
      </c>
      <c r="D7" s="5">
        <f t="shared" si="0"/>
        <v>82.8</v>
      </c>
      <c r="G7" s="3" t="s">
        <v>19</v>
      </c>
      <c r="H7" s="14">
        <v>3.7854117839999999</v>
      </c>
    </row>
    <row r="8" spans="1:10" ht="14" thickBot="1" x14ac:dyDescent="0.2">
      <c r="A8" s="20" t="s">
        <v>36</v>
      </c>
      <c r="B8" s="5">
        <v>2950</v>
      </c>
      <c r="C8" s="17">
        <v>39.5</v>
      </c>
      <c r="D8" s="5">
        <f t="shared" si="0"/>
        <v>116.52500000000001</v>
      </c>
      <c r="G8" s="4" t="s">
        <v>17</v>
      </c>
      <c r="H8" s="15">
        <v>2.5399999999999999E-2</v>
      </c>
    </row>
    <row r="9" spans="1:10" x14ac:dyDescent="0.15">
      <c r="A9" s="20" t="s">
        <v>37</v>
      </c>
      <c r="B9" s="5">
        <v>2950</v>
      </c>
      <c r="C9" s="17">
        <v>46</v>
      </c>
      <c r="D9" s="5">
        <f t="shared" si="0"/>
        <v>135.69999999999999</v>
      </c>
    </row>
    <row r="10" spans="1:10" x14ac:dyDescent="0.15">
      <c r="A10" s="10" t="s">
        <v>7</v>
      </c>
      <c r="B10" s="6">
        <f>+Input_Output!C10-Input_Output!C4</f>
        <v>1974</v>
      </c>
      <c r="C10" s="17">
        <f>(D10/B10)*1000</f>
        <v>37.689969604863222</v>
      </c>
      <c r="D10" s="5">
        <f>(Input_Output!E10-Input_Output!E4)/1000</f>
        <v>74.400000000000006</v>
      </c>
      <c r="J10" s="19"/>
    </row>
    <row r="11" spans="1:10" ht="14" thickBot="1" x14ac:dyDescent="0.2">
      <c r="A11" s="11" t="s">
        <v>8</v>
      </c>
      <c r="B11" s="12">
        <f>+Input_Output!C10</f>
        <v>1974</v>
      </c>
      <c r="C11" s="18">
        <f>Input_Output!$D$10</f>
        <v>37.689969604863222</v>
      </c>
      <c r="D11" s="5">
        <f>(B11*C11)/1000</f>
        <v>74.400000000000006</v>
      </c>
    </row>
    <row r="27" spans="2:2" x14ac:dyDescent="0.15">
      <c r="B27" s="16"/>
    </row>
  </sheetData>
  <sheetProtection algorithmName="SHA-512" hashValue="sctzgYCUQmnFa4SKhQpxKmL82bSRMIyUmnYM1cosU6VdFS3MPynP07UlZOCVDoFFzWmnnK2lXXZQuOIKBj3BXQ==" saltValue="uXDPJMV7M+WA9Pb3P67sww==" spinCount="100000" sheet="1" objects="1" scenarios="1" selectLockedCells="1" selectUnlockedCells="1"/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5868-19EA-5643-8597-2691288FF3B6}">
  <dimension ref="A1:T52"/>
  <sheetViews>
    <sheetView workbookViewId="0">
      <selection sqref="A1:F1"/>
    </sheetView>
  </sheetViews>
  <sheetFormatPr baseColWidth="10" defaultRowHeight="16" x14ac:dyDescent="0.2"/>
  <cols>
    <col min="1" max="1" width="19.5" style="121" bestFit="1" customWidth="1"/>
    <col min="2" max="2" width="12.6640625" style="121" bestFit="1" customWidth="1"/>
    <col min="3" max="3" width="12.5" style="121" bestFit="1" customWidth="1"/>
    <col min="4" max="7" width="10.83203125" style="121"/>
    <col min="8" max="8" width="17.1640625" style="121" bestFit="1" customWidth="1"/>
    <col min="9" max="14" width="10.83203125" style="121"/>
    <col min="15" max="15" width="17.1640625" style="121" bestFit="1" customWidth="1"/>
    <col min="16" max="16384" width="10.83203125" style="121"/>
  </cols>
  <sheetData>
    <row r="1" spans="1:20" ht="21" x14ac:dyDescent="0.25">
      <c r="A1" s="230" t="s">
        <v>55</v>
      </c>
      <c r="B1" s="230"/>
      <c r="C1" s="230"/>
      <c r="D1" s="230"/>
      <c r="E1" s="230"/>
      <c r="F1" s="230"/>
      <c r="H1" s="230" t="s">
        <v>56</v>
      </c>
      <c r="I1" s="230"/>
      <c r="J1" s="230"/>
      <c r="K1" s="230"/>
      <c r="L1" s="230"/>
      <c r="M1" s="230"/>
      <c r="O1" s="231" t="s">
        <v>57</v>
      </c>
      <c r="P1" s="231"/>
      <c r="Q1" s="231"/>
      <c r="R1" s="231"/>
      <c r="S1" s="231"/>
      <c r="T1" s="231"/>
    </row>
    <row r="2" spans="1:20" ht="17" thickBot="1" x14ac:dyDescent="0.25">
      <c r="O2" s="122"/>
      <c r="P2" s="122"/>
      <c r="Q2" s="122"/>
      <c r="R2" s="122"/>
      <c r="S2" s="122"/>
      <c r="T2" s="122"/>
    </row>
    <row r="3" spans="1:20" x14ac:dyDescent="0.2">
      <c r="A3" s="123"/>
      <c r="B3" s="124">
        <v>0</v>
      </c>
      <c r="C3" s="124">
        <v>10</v>
      </c>
      <c r="D3" s="124">
        <v>20</v>
      </c>
      <c r="E3" s="124">
        <v>30</v>
      </c>
      <c r="F3" s="125">
        <v>40</v>
      </c>
      <c r="H3" s="123"/>
      <c r="I3" s="124">
        <v>0</v>
      </c>
      <c r="J3" s="124">
        <v>10</v>
      </c>
      <c r="K3" s="124">
        <v>20</v>
      </c>
      <c r="L3" s="124">
        <v>30</v>
      </c>
      <c r="M3" s="125">
        <v>40</v>
      </c>
      <c r="O3" s="126"/>
      <c r="P3" s="127">
        <v>0</v>
      </c>
      <c r="Q3" s="127">
        <v>10</v>
      </c>
      <c r="R3" s="127">
        <v>20</v>
      </c>
      <c r="S3" s="127">
        <v>30</v>
      </c>
      <c r="T3" s="128">
        <v>40</v>
      </c>
    </row>
    <row r="4" spans="1:20" ht="17" thickBot="1" x14ac:dyDescent="0.25">
      <c r="A4" s="129" t="s">
        <v>58</v>
      </c>
      <c r="B4" s="130" t="s">
        <v>59</v>
      </c>
      <c r="C4" s="130" t="s">
        <v>59</v>
      </c>
      <c r="D4" s="130" t="s">
        <v>59</v>
      </c>
      <c r="E4" s="130" t="s">
        <v>59</v>
      </c>
      <c r="F4" s="131" t="s">
        <v>59</v>
      </c>
      <c r="H4" s="129" t="s">
        <v>58</v>
      </c>
      <c r="I4" s="130" t="s">
        <v>59</v>
      </c>
      <c r="J4" s="130" t="s">
        <v>59</v>
      </c>
      <c r="K4" s="130" t="s">
        <v>59</v>
      </c>
      <c r="L4" s="130" t="s">
        <v>59</v>
      </c>
      <c r="M4" s="131" t="s">
        <v>59</v>
      </c>
      <c r="O4" s="129" t="s">
        <v>58</v>
      </c>
      <c r="P4" s="132" t="s">
        <v>59</v>
      </c>
      <c r="Q4" s="132" t="s">
        <v>59</v>
      </c>
      <c r="R4" s="132" t="s">
        <v>59</v>
      </c>
      <c r="S4" s="132" t="s">
        <v>59</v>
      </c>
      <c r="T4" s="133" t="s">
        <v>59</v>
      </c>
    </row>
    <row r="5" spans="1:20" x14ac:dyDescent="0.2">
      <c r="A5" s="134">
        <v>0</v>
      </c>
      <c r="B5" s="135">
        <v>715</v>
      </c>
      <c r="C5" s="135">
        <v>765</v>
      </c>
      <c r="D5" s="135">
        <v>825</v>
      </c>
      <c r="E5" s="135">
        <v>885</v>
      </c>
      <c r="F5" s="136">
        <v>945</v>
      </c>
      <c r="H5" s="134">
        <v>0</v>
      </c>
      <c r="I5" s="135">
        <v>520</v>
      </c>
      <c r="J5" s="135">
        <v>560</v>
      </c>
      <c r="K5" s="135">
        <v>600</v>
      </c>
      <c r="L5" s="135">
        <v>645</v>
      </c>
      <c r="M5" s="136">
        <v>690</v>
      </c>
      <c r="O5" s="137">
        <v>0</v>
      </c>
      <c r="P5" s="138">
        <v>365</v>
      </c>
      <c r="Q5" s="138">
        <v>390</v>
      </c>
      <c r="R5" s="138">
        <v>420</v>
      </c>
      <c r="S5" s="138">
        <v>450</v>
      </c>
      <c r="T5" s="139">
        <v>480</v>
      </c>
    </row>
    <row r="6" spans="1:20" x14ac:dyDescent="0.2">
      <c r="A6" s="140">
        <v>1000</v>
      </c>
      <c r="B6" s="141">
        <v>775</v>
      </c>
      <c r="C6" s="141">
        <v>835</v>
      </c>
      <c r="D6" s="141">
        <v>900</v>
      </c>
      <c r="E6" s="141">
        <v>965</v>
      </c>
      <c r="F6" s="142">
        <v>1030</v>
      </c>
      <c r="H6" s="140">
        <v>1000</v>
      </c>
      <c r="I6" s="141">
        <v>565</v>
      </c>
      <c r="J6" s="141">
        <v>610</v>
      </c>
      <c r="K6" s="141">
        <v>655</v>
      </c>
      <c r="L6" s="141">
        <v>700</v>
      </c>
      <c r="M6" s="142">
        <v>750</v>
      </c>
      <c r="O6" s="137">
        <v>1000</v>
      </c>
      <c r="P6" s="138">
        <v>395</v>
      </c>
      <c r="Q6" s="138">
        <v>425</v>
      </c>
      <c r="R6" s="138">
        <v>455</v>
      </c>
      <c r="S6" s="138">
        <v>490</v>
      </c>
      <c r="T6" s="139">
        <v>520</v>
      </c>
    </row>
    <row r="7" spans="1:20" x14ac:dyDescent="0.2">
      <c r="A7" s="140">
        <v>2000</v>
      </c>
      <c r="B7" s="141">
        <v>850</v>
      </c>
      <c r="C7" s="141">
        <v>915</v>
      </c>
      <c r="D7" s="141">
        <v>980</v>
      </c>
      <c r="E7" s="141">
        <v>1055</v>
      </c>
      <c r="F7" s="142">
        <v>1130</v>
      </c>
      <c r="H7" s="140">
        <v>2000</v>
      </c>
      <c r="I7" s="141">
        <v>615</v>
      </c>
      <c r="J7" s="141">
        <v>665</v>
      </c>
      <c r="K7" s="141">
        <v>710</v>
      </c>
      <c r="L7" s="141">
        <v>765</v>
      </c>
      <c r="M7" s="142">
        <v>820</v>
      </c>
      <c r="O7" s="137">
        <v>2000</v>
      </c>
      <c r="P7" s="138">
        <v>430</v>
      </c>
      <c r="Q7" s="138">
        <v>460</v>
      </c>
      <c r="R7" s="138">
        <v>495</v>
      </c>
      <c r="S7" s="138">
        <v>530</v>
      </c>
      <c r="T7" s="139">
        <v>565</v>
      </c>
    </row>
    <row r="8" spans="1:20" x14ac:dyDescent="0.2">
      <c r="A8" s="140">
        <v>3000</v>
      </c>
      <c r="B8" s="141">
        <v>925</v>
      </c>
      <c r="C8" s="141">
        <v>995</v>
      </c>
      <c r="D8" s="141">
        <v>1070</v>
      </c>
      <c r="E8" s="141">
        <v>1150</v>
      </c>
      <c r="F8" s="142">
        <v>1235</v>
      </c>
      <c r="H8" s="140">
        <v>3000</v>
      </c>
      <c r="I8" s="141">
        <v>675</v>
      </c>
      <c r="J8" s="141">
        <v>725</v>
      </c>
      <c r="K8" s="141">
        <v>775</v>
      </c>
      <c r="L8" s="141">
        <v>835</v>
      </c>
      <c r="M8" s="142">
        <v>895</v>
      </c>
      <c r="O8" s="137">
        <v>3000</v>
      </c>
      <c r="P8" s="138">
        <v>470</v>
      </c>
      <c r="Q8" s="138">
        <v>505</v>
      </c>
      <c r="R8" s="138">
        <v>540</v>
      </c>
      <c r="S8" s="138">
        <v>580</v>
      </c>
      <c r="T8" s="139">
        <v>620</v>
      </c>
    </row>
    <row r="9" spans="1:20" x14ac:dyDescent="0.2">
      <c r="A9" s="140">
        <v>4000</v>
      </c>
      <c r="B9" s="141">
        <v>1015</v>
      </c>
      <c r="C9" s="141">
        <v>1090</v>
      </c>
      <c r="D9" s="141">
        <v>1175</v>
      </c>
      <c r="E9" s="141">
        <v>1260</v>
      </c>
      <c r="F9" s="142">
        <v>1355</v>
      </c>
      <c r="H9" s="140">
        <v>4000</v>
      </c>
      <c r="I9" s="141">
        <v>735</v>
      </c>
      <c r="J9" s="141">
        <v>790</v>
      </c>
      <c r="K9" s="141">
        <v>850</v>
      </c>
      <c r="L9" s="141">
        <v>910</v>
      </c>
      <c r="M9" s="142">
        <v>975</v>
      </c>
      <c r="O9" s="137">
        <v>4000</v>
      </c>
      <c r="P9" s="138">
        <v>510</v>
      </c>
      <c r="Q9" s="138">
        <v>550</v>
      </c>
      <c r="R9" s="138">
        <v>590</v>
      </c>
      <c r="S9" s="138">
        <v>630</v>
      </c>
      <c r="T9" s="139">
        <v>675</v>
      </c>
    </row>
    <row r="10" spans="1:20" x14ac:dyDescent="0.2">
      <c r="A10" s="140">
        <v>5000</v>
      </c>
      <c r="B10" s="141">
        <v>1110</v>
      </c>
      <c r="C10" s="141">
        <v>1195</v>
      </c>
      <c r="D10" s="141">
        <v>1290</v>
      </c>
      <c r="E10" s="141">
        <v>1385</v>
      </c>
      <c r="F10" s="142">
        <v>1485</v>
      </c>
      <c r="H10" s="140">
        <v>5000</v>
      </c>
      <c r="I10" s="141">
        <v>805</v>
      </c>
      <c r="J10" s="141">
        <v>865</v>
      </c>
      <c r="K10" s="141">
        <v>930</v>
      </c>
      <c r="L10" s="141">
        <v>1000</v>
      </c>
      <c r="M10" s="142">
        <v>1070</v>
      </c>
      <c r="O10" s="137">
        <v>5000</v>
      </c>
      <c r="P10" s="138">
        <v>555</v>
      </c>
      <c r="Q10" s="138">
        <v>600</v>
      </c>
      <c r="R10" s="138">
        <v>640</v>
      </c>
      <c r="S10" s="138">
        <v>690</v>
      </c>
      <c r="T10" s="139">
        <v>735</v>
      </c>
    </row>
    <row r="11" spans="1:20" x14ac:dyDescent="0.2">
      <c r="A11" s="140">
        <v>6000</v>
      </c>
      <c r="B11" s="141">
        <v>1220</v>
      </c>
      <c r="C11" s="141">
        <v>1315</v>
      </c>
      <c r="D11" s="141">
        <v>1415</v>
      </c>
      <c r="E11" s="141">
        <v>1520</v>
      </c>
      <c r="F11" s="142">
        <v>1635</v>
      </c>
      <c r="H11" s="140">
        <v>6000</v>
      </c>
      <c r="I11" s="141">
        <v>880</v>
      </c>
      <c r="J11" s="141">
        <v>950</v>
      </c>
      <c r="K11" s="141">
        <v>1020</v>
      </c>
      <c r="L11" s="141">
        <v>1095</v>
      </c>
      <c r="M11" s="142">
        <v>1175</v>
      </c>
      <c r="O11" s="137">
        <v>6000</v>
      </c>
      <c r="P11" s="138">
        <v>610</v>
      </c>
      <c r="Q11" s="138">
        <v>655</v>
      </c>
      <c r="R11" s="138">
        <v>700</v>
      </c>
      <c r="S11" s="138">
        <v>755</v>
      </c>
      <c r="T11" s="139">
        <v>805</v>
      </c>
    </row>
    <row r="12" spans="1:20" x14ac:dyDescent="0.2">
      <c r="A12" s="140">
        <v>7000</v>
      </c>
      <c r="B12" s="141">
        <v>1340</v>
      </c>
      <c r="C12" s="141">
        <v>1445</v>
      </c>
      <c r="D12" s="141">
        <v>1560</v>
      </c>
      <c r="E12" s="141">
        <v>1675</v>
      </c>
      <c r="F12" s="143" t="s">
        <v>60</v>
      </c>
      <c r="H12" s="140">
        <v>7000</v>
      </c>
      <c r="I12" s="141">
        <v>965</v>
      </c>
      <c r="J12" s="141">
        <v>1040</v>
      </c>
      <c r="K12" s="141">
        <v>1120</v>
      </c>
      <c r="L12" s="141">
        <v>1200</v>
      </c>
      <c r="M12" s="142">
        <v>1290</v>
      </c>
      <c r="O12" s="137">
        <v>7000</v>
      </c>
      <c r="P12" s="138">
        <v>665</v>
      </c>
      <c r="Q12" s="138">
        <v>715</v>
      </c>
      <c r="R12" s="138">
        <v>770</v>
      </c>
      <c r="S12" s="138">
        <v>825</v>
      </c>
      <c r="T12" s="139">
        <v>885</v>
      </c>
    </row>
    <row r="13" spans="1:20" ht="17" thickBot="1" x14ac:dyDescent="0.25">
      <c r="A13" s="144">
        <v>8000</v>
      </c>
      <c r="B13" s="145">
        <v>1480</v>
      </c>
      <c r="C13" s="145">
        <v>1595</v>
      </c>
      <c r="D13" s="145">
        <v>1720</v>
      </c>
      <c r="E13" s="146" t="s">
        <v>60</v>
      </c>
      <c r="F13" s="147" t="s">
        <v>60</v>
      </c>
      <c r="H13" s="144">
        <v>8000</v>
      </c>
      <c r="I13" s="145">
        <v>1060</v>
      </c>
      <c r="J13" s="145">
        <v>1145</v>
      </c>
      <c r="K13" s="145">
        <v>1230</v>
      </c>
      <c r="L13" s="145">
        <v>1320</v>
      </c>
      <c r="M13" s="148">
        <v>1420</v>
      </c>
      <c r="O13" s="149">
        <v>8000</v>
      </c>
      <c r="P13" s="150">
        <v>730</v>
      </c>
      <c r="Q13" s="150">
        <v>785</v>
      </c>
      <c r="R13" s="150">
        <v>845</v>
      </c>
      <c r="S13" s="150">
        <v>905</v>
      </c>
      <c r="T13" s="151">
        <v>970</v>
      </c>
    </row>
    <row r="14" spans="1:20" ht="17" thickBot="1" x14ac:dyDescent="0.25"/>
    <row r="15" spans="1:20" x14ac:dyDescent="0.2">
      <c r="A15" s="152" t="s">
        <v>61</v>
      </c>
      <c r="B15" s="153"/>
      <c r="C15" s="154"/>
    </row>
    <row r="16" spans="1:20" x14ac:dyDescent="0.2">
      <c r="A16" s="155" t="s">
        <v>62</v>
      </c>
      <c r="B16" s="156">
        <f>Input_Output!C24</f>
        <v>2146</v>
      </c>
      <c r="C16" s="157"/>
    </row>
    <row r="17" spans="1:17" x14ac:dyDescent="0.2">
      <c r="A17" s="155" t="s">
        <v>63</v>
      </c>
      <c r="B17" s="158">
        <f>Input_Output!C25</f>
        <v>1013</v>
      </c>
      <c r="C17" s="159">
        <f>B16+(1013.25-B17)*27</f>
        <v>2152.75</v>
      </c>
    </row>
    <row r="18" spans="1:17" x14ac:dyDescent="0.2">
      <c r="A18" s="155" t="s">
        <v>64</v>
      </c>
      <c r="B18" s="160">
        <f>Input_Output!C26</f>
        <v>20</v>
      </c>
      <c r="C18" s="157"/>
    </row>
    <row r="19" spans="1:17" x14ac:dyDescent="0.2">
      <c r="A19" s="155" t="s">
        <v>65</v>
      </c>
      <c r="B19" s="161">
        <f>Input_Output!C27</f>
        <v>0</v>
      </c>
      <c r="C19" s="157" t="str">
        <f>IF(B19=0, "(Calm)", IF(B19&lt;0, "(Tailwind)", "(Headwind)"))</f>
        <v>(Calm)</v>
      </c>
    </row>
    <row r="20" spans="1:17" x14ac:dyDescent="0.2">
      <c r="A20" s="155" t="s">
        <v>66</v>
      </c>
      <c r="B20" s="162">
        <f>Input_Output!C28</f>
        <v>0.15</v>
      </c>
      <c r="C20" s="157"/>
    </row>
    <row r="21" spans="1:17" ht="17" thickBot="1" x14ac:dyDescent="0.25">
      <c r="A21" s="163" t="s">
        <v>67</v>
      </c>
      <c r="B21" s="164">
        <f>Input_Output!C10</f>
        <v>1974</v>
      </c>
      <c r="C21" s="165">
        <f>IF(B21&lt;A40,A40,B21)</f>
        <v>2300</v>
      </c>
    </row>
    <row r="23" spans="1:17" x14ac:dyDescent="0.2">
      <c r="A23" s="166" t="s">
        <v>68</v>
      </c>
    </row>
    <row r="24" spans="1:17" x14ac:dyDescent="0.2">
      <c r="A24" s="121" t="s">
        <v>69</v>
      </c>
      <c r="B24" s="121">
        <f>MATCH($C17,A5:A13,1)</f>
        <v>3</v>
      </c>
      <c r="I24" s="121">
        <f>MATCH($C17,H5:H13,1)</f>
        <v>3</v>
      </c>
      <c r="P24" s="121">
        <f>MATCH($C17,O5:O13,1)</f>
        <v>3</v>
      </c>
    </row>
    <row r="25" spans="1:17" x14ac:dyDescent="0.2">
      <c r="A25" s="121" t="s">
        <v>70</v>
      </c>
      <c r="B25" s="121">
        <f>_xlfn.IFNA(C25,B24+1)</f>
        <v>4</v>
      </c>
      <c r="C25" s="121" t="e">
        <f>MATCH($C$17,A5:A13,0)</f>
        <v>#N/A</v>
      </c>
      <c r="I25" s="121">
        <f>I24+1</f>
        <v>4</v>
      </c>
      <c r="P25" s="121">
        <f>P24+1</f>
        <v>4</v>
      </c>
    </row>
    <row r="26" spans="1:17" x14ac:dyDescent="0.2">
      <c r="A26" s="121" t="s">
        <v>71</v>
      </c>
      <c r="B26" s="121">
        <f>MATCH($B18,B3:F3,1)</f>
        <v>3</v>
      </c>
      <c r="I26" s="121">
        <f>MATCH($B18,I3:M3,1)</f>
        <v>3</v>
      </c>
      <c r="P26" s="121">
        <f>MATCH($B18,P3:T3,1)</f>
        <v>3</v>
      </c>
    </row>
    <row r="27" spans="1:17" x14ac:dyDescent="0.2">
      <c r="A27" s="121" t="s">
        <v>72</v>
      </c>
      <c r="B27" s="121">
        <f>_xlfn.IFNA(C27,B26+1)</f>
        <v>3</v>
      </c>
      <c r="C27" s="121">
        <f>MATCH($B$18,B3:F3,0)</f>
        <v>3</v>
      </c>
      <c r="I27" s="121">
        <f>_xlfn.IFNA(J27,I26+1)</f>
        <v>3</v>
      </c>
      <c r="J27" s="121">
        <f>MATCH($B18,I3:M3,0)</f>
        <v>3</v>
      </c>
      <c r="P27" s="121">
        <f>_xlfn.IFNA(Q27,P26+1)</f>
        <v>3</v>
      </c>
      <c r="Q27" s="121">
        <f>MATCH($B18,P3:T3,0)</f>
        <v>3</v>
      </c>
    </row>
    <row r="29" spans="1:17" x14ac:dyDescent="0.2">
      <c r="A29" s="121" t="s">
        <v>73</v>
      </c>
      <c r="B29" s="167" cm="1">
        <f t="array" ref="B29">INDEX(B5:F13,B24,B26)</f>
        <v>980</v>
      </c>
      <c r="C29" s="168">
        <f>B29*0.305</f>
        <v>298.89999999999998</v>
      </c>
      <c r="I29" s="167" cm="1">
        <f t="array" ref="I29">INDEX(I5:M13,I24,I26)</f>
        <v>710</v>
      </c>
      <c r="P29" s="167" cm="1">
        <f t="array" ref="P29">INDEX(P5:T13,P24,P26)</f>
        <v>495</v>
      </c>
    </row>
    <row r="30" spans="1:17" x14ac:dyDescent="0.2">
      <c r="A30" s="121" t="s">
        <v>74</v>
      </c>
      <c r="B30" s="167" cm="1">
        <f t="array" ref="B30">INDEX(B5:F13,B24,B27)</f>
        <v>980</v>
      </c>
      <c r="C30" s="168">
        <f t="shared" ref="C30:C32" si="0">B30*0.305</f>
        <v>298.89999999999998</v>
      </c>
      <c r="I30" s="167" cm="1">
        <f t="array" ref="I30">INDEX(I5:M13,I24,I27)</f>
        <v>710</v>
      </c>
      <c r="P30" s="167" cm="1">
        <f t="array" ref="P30">INDEX(P5:T13,P24,P27)</f>
        <v>495</v>
      </c>
    </row>
    <row r="31" spans="1:17" x14ac:dyDescent="0.2">
      <c r="A31" s="121" t="s">
        <v>75</v>
      </c>
      <c r="B31" s="167" cm="1">
        <f t="array" ref="B31">INDEX(B5:F13,B25,B26)</f>
        <v>1070</v>
      </c>
      <c r="C31" s="168">
        <f t="shared" si="0"/>
        <v>326.34999999999997</v>
      </c>
      <c r="I31" s="167" cm="1">
        <f t="array" ref="I31">INDEX(I5:M13,I25,I26)</f>
        <v>775</v>
      </c>
      <c r="P31" s="167" cm="1">
        <f t="array" ref="P31">INDEX(P5:T13,P25,P26)</f>
        <v>540</v>
      </c>
    </row>
    <row r="32" spans="1:17" x14ac:dyDescent="0.2">
      <c r="A32" s="121" t="s">
        <v>76</v>
      </c>
      <c r="B32" s="167" cm="1">
        <f t="array" ref="B32">INDEX(B5:F13,B25,B27)</f>
        <v>1070</v>
      </c>
      <c r="C32" s="168">
        <f t="shared" si="0"/>
        <v>326.34999999999997</v>
      </c>
      <c r="I32" s="167" cm="1">
        <f t="array" ref="I32">INDEX(I5:M13,I25,I27)</f>
        <v>775</v>
      </c>
      <c r="P32" s="167" cm="1">
        <f t="array" ref="P32">INDEX(P5:T13,P25,P27)</f>
        <v>540</v>
      </c>
    </row>
    <row r="33" spans="1:17" x14ac:dyDescent="0.2">
      <c r="P33" s="122"/>
      <c r="Q33" s="122"/>
    </row>
    <row r="34" spans="1:17" x14ac:dyDescent="0.2">
      <c r="A34" s="166" t="s">
        <v>77</v>
      </c>
      <c r="P34" s="122"/>
      <c r="Q34" s="122"/>
    </row>
    <row r="35" spans="1:17" x14ac:dyDescent="0.2">
      <c r="A35" s="121" t="s">
        <v>78</v>
      </c>
      <c r="B35" s="169">
        <f>IF(B29=B30, B30,_xlfn.FORECAST.LINEAR($B18,B29:B30,INDEX(B3:F3,1,B26):INDEX(B3:F3,1,B27)))</f>
        <v>980</v>
      </c>
      <c r="C35" s="168">
        <f>B35*0.305</f>
        <v>298.89999999999998</v>
      </c>
      <c r="I35" s="169">
        <f>IF(I29=I30, I30,_xlfn.FORECAST.LINEAR($B18,I29:I30,INDEX(I3:M3,1,I26):INDEX(I3:M3,1,I27)))</f>
        <v>710</v>
      </c>
      <c r="P35" s="169">
        <f>IF(P29=P30, P30,_xlfn.FORECAST.LINEAR($B18,P29:P30,INDEX(P3:T3,1,P26):INDEX(P3:T3,1,P27)))</f>
        <v>495</v>
      </c>
      <c r="Q35" s="122"/>
    </row>
    <row r="36" spans="1:17" x14ac:dyDescent="0.2">
      <c r="A36" s="121" t="s">
        <v>79</v>
      </c>
      <c r="B36" s="169">
        <f>IF(B31=B32,B32,_xlfn.FORECAST.LINEAR($B18,B31:B32,INDEX(B3:F3,1,B26):INDEX(B3:F3,1,B27)))</f>
        <v>1070</v>
      </c>
      <c r="C36" s="168">
        <f t="shared" ref="C36:C37" si="1">B36*0.305</f>
        <v>326.34999999999997</v>
      </c>
      <c r="I36" s="169">
        <f>IF(I31=I32,I32,_xlfn.FORECAST.LINEAR($B18,I31:I32,INDEX(I3:M3,1,I26):INDEX(I3:M3,1,I27)))</f>
        <v>775</v>
      </c>
      <c r="P36" s="169">
        <f>IF(P31=P32,P32,_xlfn.FORECAST.LINEAR($B18,P31:P32,INDEX(P3:T3,1,P26):INDEX(P3:T3,1,P27)))</f>
        <v>540</v>
      </c>
      <c r="Q36" s="122"/>
    </row>
    <row r="37" spans="1:17" x14ac:dyDescent="0.2">
      <c r="A37" s="121" t="s">
        <v>80</v>
      </c>
      <c r="B37" s="169">
        <f>IF(B35=B36,B36,_xlfn.FORECAST.LINEAR($C17,B35:B36,INDEX(A5:A13,B24):INDEX(A5:A13,B25)))</f>
        <v>993.74749999999995</v>
      </c>
      <c r="C37" s="168">
        <f t="shared" si="1"/>
        <v>303.09298749999999</v>
      </c>
      <c r="I37" s="169">
        <f>_xlfn.FORECAST.LINEAR($C17,I35:I36,INDEX(H5:H13,I24):INDEX(H5:H13,I25))</f>
        <v>719.92875000000004</v>
      </c>
      <c r="P37" s="169">
        <f>_xlfn.FORECAST.LINEAR($C17,P35:P36,INDEX(O5:O13,P24):INDEX(O5:O13,P25))</f>
        <v>501.87374999999997</v>
      </c>
      <c r="Q37" s="122"/>
    </row>
    <row r="39" spans="1:17" x14ac:dyDescent="0.2">
      <c r="A39" s="166" t="s">
        <v>81</v>
      </c>
    </row>
    <row r="40" spans="1:17" x14ac:dyDescent="0.2">
      <c r="A40" s="170">
        <v>2300</v>
      </c>
      <c r="B40" s="169">
        <f>P37</f>
        <v>501.87374999999997</v>
      </c>
      <c r="C40" s="168">
        <f>B40*0.305</f>
        <v>153.07149375</v>
      </c>
    </row>
    <row r="41" spans="1:17" x14ac:dyDescent="0.2">
      <c r="A41" s="170">
        <v>2700</v>
      </c>
      <c r="B41" s="169">
        <f>I37</f>
        <v>719.92875000000004</v>
      </c>
      <c r="C41" s="168">
        <f t="shared" ref="C41:C42" si="2">B41*0.305</f>
        <v>219.57826875000001</v>
      </c>
    </row>
    <row r="42" spans="1:17" x14ac:dyDescent="0.2">
      <c r="A42" s="170">
        <v>3100</v>
      </c>
      <c r="B42" s="169">
        <f>B37</f>
        <v>993.74749999999995</v>
      </c>
      <c r="C42" s="168">
        <f t="shared" si="2"/>
        <v>303.09298749999999</v>
      </c>
    </row>
    <row r="44" spans="1:17" x14ac:dyDescent="0.2">
      <c r="A44" s="171" t="str">
        <f>"Ground Roll for " &amp; B21 &amp; " lbs"</f>
        <v>Ground Roll for 1974 lbs</v>
      </c>
    </row>
    <row r="45" spans="1:17" x14ac:dyDescent="0.2">
      <c r="A45" s="121" t="s">
        <v>82</v>
      </c>
      <c r="B45" s="121">
        <f>MATCH(C21,A40:A42,1)</f>
        <v>1</v>
      </c>
    </row>
    <row r="46" spans="1:17" x14ac:dyDescent="0.2">
      <c r="A46" s="121" t="s">
        <v>83</v>
      </c>
      <c r="B46" s="121">
        <f>_xlfn.IFNA(C46, B45+1)</f>
        <v>1</v>
      </c>
      <c r="C46" s="121">
        <f>MATCH(C21,A40:A42,0)</f>
        <v>1</v>
      </c>
    </row>
    <row r="47" spans="1:17" x14ac:dyDescent="0.2">
      <c r="A47" s="121" t="s">
        <v>80</v>
      </c>
      <c r="B47" s="167" cm="1">
        <f t="array" ref="B47">IF(B45=B46,INDEX(B40:B42,B46),_xlfn.FORECAST.LINEAR(C21,INDEX(B40:B42,B45):INDEX(B40:B42,B46),INDEX(A40:A42,B45):INDEX(A40:A42,B46)))</f>
        <v>501.87374999999997</v>
      </c>
    </row>
    <row r="49" spans="1:4" x14ac:dyDescent="0.2">
      <c r="A49" s="166" t="s">
        <v>84</v>
      </c>
    </row>
    <row r="50" spans="1:4" x14ac:dyDescent="0.2">
      <c r="A50" s="121" t="s">
        <v>85</v>
      </c>
      <c r="B50" s="121">
        <f>ABS(0.1*MIN(0, B19/2))</f>
        <v>0</v>
      </c>
    </row>
    <row r="51" spans="1:4" x14ac:dyDescent="0.2">
      <c r="A51" s="121" t="s">
        <v>86</v>
      </c>
      <c r="B51" s="121">
        <f>0.1*MAX(0, B19/9)</f>
        <v>0</v>
      </c>
    </row>
    <row r="52" spans="1:4" s="166" customFormat="1" x14ac:dyDescent="0.2">
      <c r="A52" s="166" t="s">
        <v>80</v>
      </c>
      <c r="B52" s="172">
        <f>B47*(1-B51)*(1+B50)</f>
        <v>501.87374999999997</v>
      </c>
      <c r="C52" s="172">
        <f>B52*(1+B20)</f>
        <v>577.15481249999993</v>
      </c>
      <c r="D52" s="173">
        <f>C52*0.305</f>
        <v>176.03221781249997</v>
      </c>
    </row>
  </sheetData>
  <sheetProtection algorithmName="SHA-512" hashValue="Qu92PFlWRtl3z/mfUG2+4QTQjGD+7E8hZl2b7NbqNJ3fUFj5lVjywnK2iZcP2PVFkYVGDClmhraTRAHwoxHeZQ==" saltValue="EkAAg7+//nv6R1Ly8e4e9Q==" spinCount="100000" sheet="1" objects="1" scenarios="1"/>
  <mergeCells count="3">
    <mergeCell ref="A1:F1"/>
    <mergeCell ref="H1:M1"/>
    <mergeCell ref="O1:T1"/>
  </mergeCells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0D7B7A0689784181B5266FB7D99710" ma:contentTypeVersion="10" ma:contentTypeDescription="Create a new document." ma:contentTypeScope="" ma:versionID="76a66ccaa3f5b2a4afbf06b4e95ecc66">
  <xsd:schema xmlns:xsd="http://www.w3.org/2001/XMLSchema" xmlns:xs="http://www.w3.org/2001/XMLSchema" xmlns:p="http://schemas.microsoft.com/office/2006/metadata/properties" xmlns:ns2="d2c14317-98fd-477b-8489-72f03b370689" xmlns:ns3="deeb1cfd-f9ea-4897-8f1d-be273fbd7d2a" targetNamespace="http://schemas.microsoft.com/office/2006/metadata/properties" ma:root="true" ma:fieldsID="3de8ce4fe0420b2a2b07e631467a390d" ns2:_="" ns3:_="">
    <xsd:import namespace="d2c14317-98fd-477b-8489-72f03b370689"/>
    <xsd:import namespace="deeb1cfd-f9ea-4897-8f1d-be273fbd7d2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14317-98fd-477b-8489-72f03b3706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eb1cfd-f9ea-4897-8f1d-be273fbd7d2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BE6BA0-E80F-4D75-9C9D-2A6AA38C9C27}">
  <ds:schemaRefs>
    <ds:schemaRef ds:uri="http://purl.org/dc/dcmitype/"/>
    <ds:schemaRef ds:uri="http://schemas.microsoft.com/office/2006/metadata/properties"/>
    <ds:schemaRef ds:uri="http://schemas.microsoft.com/office/2006/documentManagement/types"/>
    <ds:schemaRef ds:uri="d2c14317-98fd-477b-8489-72f03b370689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eeb1cfd-f9ea-4897-8f1d-be273fbd7d2a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D4817219-8D5A-4211-85CE-8FD8401157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1DB6AE-47D0-41DC-9BCC-241BA6E5DC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c14317-98fd-477b-8489-72f03b370689"/>
    <ds:schemaRef ds:uri="deeb1cfd-f9ea-4897-8f1d-be273fbd7d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Input_Output</vt:lpstr>
      <vt:lpstr>Definitions</vt:lpstr>
      <vt:lpstr>Takeoff Distance Calculation</vt:lpstr>
      <vt:lpstr>kg_gal</vt:lpstr>
      <vt:lpstr>kg_lbs</vt:lpstr>
      <vt:lpstr>lbs_gal</vt:lpstr>
      <vt:lpstr>liter_gal</vt:lpstr>
      <vt:lpstr>liter_kg</vt:lpstr>
      <vt:lpstr>m_inch</vt:lpstr>
      <vt:lpstr>Max_Wing_Fuel</vt:lpstr>
      <vt:lpstr>Input_Output!Print_Area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2008-06-30T12:49:08Z</cp:lastPrinted>
  <dcterms:created xsi:type="dcterms:W3CDTF">1900-12-31T23:00:00Z</dcterms:created>
  <dcterms:modified xsi:type="dcterms:W3CDTF">2021-10-02T09:47:19Z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0x010100A60D7B7A0689784181B5266FB7D99710</vt:lpwstr>
  </property>
</Properties>
</file>