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2"/>
  <workbookPr filterPrivacy="1" showInkAnnotation="0" codeName="DieseArbeitsmappe" defaultThemeVersion="124226"/>
  <xr:revisionPtr revIDLastSave="0" documentId="13_ncr:1_{A50DB162-2D26-434E-8385-EF53351E00E5}" xr6:coauthVersionLast="45" xr6:coauthVersionMax="45" xr10:uidLastSave="{00000000-0000-0000-0000-000000000000}"/>
  <workbookProtection workbookAlgorithmName="SHA-512" workbookHashValue="r3PV63ZoZoWpBv4GTrsFw0svhT7RQHxX5hK8D9SyWhtECXnE77vFHTFC6O84X00QLjl9nsDioNSICyEIkMJPVg==" workbookSaltValue="GLTIlswAedscYSVw24T+mg==" workbookSpinCount="100000" lockStructure="1"/>
  <bookViews>
    <workbookView xWindow="0" yWindow="460" windowWidth="38400" windowHeight="21860" xr2:uid="{00000000-000D-0000-FFFF-FFFF00000000}"/>
  </bookViews>
  <sheets>
    <sheet name="Input_Output" sheetId="1" r:id="rId1"/>
    <sheet name="Definitions" sheetId="2" r:id="rId2"/>
    <sheet name="Takeoff Distance Calculation" sheetId="4" r:id="rId3"/>
  </sheets>
  <externalReferences>
    <externalReference r:id="rId4"/>
  </externalReferences>
  <definedNames>
    <definedName name="kg_gal" localSheetId="2">[1]Definitions!$H$5</definedName>
    <definedName name="kg_gal">Definitions!$H$5</definedName>
    <definedName name="kg_lbs" localSheetId="2">[1]Definitions!$H$3</definedName>
    <definedName name="kg_lbs">Definitions!$H$3</definedName>
    <definedName name="lbs_gal" localSheetId="2">[1]Definitions!$H$4</definedName>
    <definedName name="lbs_gal">Definitions!$H$4</definedName>
    <definedName name="liter_gal" localSheetId="2">[1]Definitions!$H$7</definedName>
    <definedName name="liter_gal">Definitions!$H$7</definedName>
    <definedName name="liter_kg" localSheetId="2">[1]Definitions!$H$6</definedName>
    <definedName name="liter_kg">Definitions!$H$6</definedName>
    <definedName name="m_inch" localSheetId="2">[1]Definitions!$H$8</definedName>
    <definedName name="m_inch">Definitions!$H$8</definedName>
    <definedName name="Max_Tip_Fuel" localSheetId="2">[1]Input_Output!#REF!</definedName>
    <definedName name="Max_Tip_Fuel">Input_Output!#REF!</definedName>
    <definedName name="Max_Wing_Fuel">Input_Output!$C$17</definedName>
    <definedName name="_xlnm.Print_Area" localSheetId="0">Input_Output!$A$1:$O$29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8" i="4" l="1"/>
  <c r="B17" i="4"/>
  <c r="B16" i="4"/>
  <c r="C25" i="1"/>
  <c r="B20" i="4" s="1"/>
  <c r="C24" i="1" l="1"/>
  <c r="B19" i="4" s="1"/>
  <c r="D21" i="1"/>
  <c r="B50" i="4" l="1"/>
  <c r="I26" i="4"/>
  <c r="C17" i="4" l="1"/>
  <c r="D22" i="1" s="1"/>
  <c r="P26" i="4"/>
  <c r="C19" i="4"/>
  <c r="D24" i="1" s="1"/>
  <c r="Q27" i="4"/>
  <c r="C27" i="4"/>
  <c r="J27" i="4"/>
  <c r="I27" i="4" s="1"/>
  <c r="B51" i="4"/>
  <c r="B26" i="4"/>
  <c r="C25" i="4" l="1"/>
  <c r="I24" i="4"/>
  <c r="I25" i="4" s="1"/>
  <c r="B24" i="4"/>
  <c r="B29" i="4" s="1" a="1"/>
  <c r="B29" i="4" s="1"/>
  <c r="P24" i="4"/>
  <c r="P25" i="4" s="1"/>
  <c r="P27" i="4"/>
  <c r="B27" i="4"/>
  <c r="I30" i="4" l="1" a="1"/>
  <c r="I30" i="4" s="1"/>
  <c r="B25" i="4"/>
  <c r="B31" i="4" s="1" a="1"/>
  <c r="B31" i="4" s="1"/>
  <c r="C31" i="4" s="1"/>
  <c r="I29" i="4" a="1"/>
  <c r="I29" i="4" s="1"/>
  <c r="P30" i="4" a="1"/>
  <c r="P30" i="4" s="1"/>
  <c r="P29" i="4" a="1"/>
  <c r="P29" i="4" s="1"/>
  <c r="B30" i="4" a="1"/>
  <c r="B30" i="4" s="1"/>
  <c r="C30" i="4" s="1"/>
  <c r="I32" i="4" a="1"/>
  <c r="I32" i="4" s="1"/>
  <c r="I31" i="4" a="1"/>
  <c r="I31" i="4" s="1"/>
  <c r="C29" i="4"/>
  <c r="P31" i="4" a="1"/>
  <c r="P31" i="4" s="1"/>
  <c r="P32" i="4" a="1"/>
  <c r="P32" i="4" s="1"/>
  <c r="I35" i="4" l="1"/>
  <c r="B32" i="4" a="1"/>
  <c r="B32" i="4" s="1"/>
  <c r="C32" i="4" s="1"/>
  <c r="P35" i="4"/>
  <c r="P36" i="4"/>
  <c r="I36" i="4"/>
  <c r="B35" i="4"/>
  <c r="I37" i="4" l="1"/>
  <c r="B41" i="4" s="1"/>
  <c r="C41" i="4" s="1"/>
  <c r="B36" i="4"/>
  <c r="C36" i="4" s="1"/>
  <c r="P37" i="4"/>
  <c r="B40" i="4" s="1"/>
  <c r="C40" i="4" s="1"/>
  <c r="C35" i="4"/>
  <c r="B37" i="4" l="1"/>
  <c r="F5" i="1"/>
  <c r="F18" i="1"/>
  <c r="F17" i="1"/>
  <c r="F10" i="1"/>
  <c r="G4" i="1"/>
  <c r="G5" i="1"/>
  <c r="G6" i="1"/>
  <c r="G7" i="1"/>
  <c r="G8" i="1"/>
  <c r="F4" i="1"/>
  <c r="F6" i="1"/>
  <c r="F7" i="1"/>
  <c r="H7" i="1" s="1"/>
  <c r="F8" i="1"/>
  <c r="F3" i="1"/>
  <c r="E4" i="1"/>
  <c r="E5" i="1"/>
  <c r="E6" i="1"/>
  <c r="E7" i="1"/>
  <c r="E8" i="1"/>
  <c r="C9" i="1"/>
  <c r="D4" i="2"/>
  <c r="D5" i="2"/>
  <c r="D6" i="2"/>
  <c r="D7" i="2"/>
  <c r="D3" i="2"/>
  <c r="C11" i="1"/>
  <c r="F11" i="1" s="1"/>
  <c r="C12" i="1"/>
  <c r="F12" i="1" s="1"/>
  <c r="E17" i="1"/>
  <c r="H4" i="2"/>
  <c r="D18" i="1" s="1"/>
  <c r="C18" i="1"/>
  <c r="E18" i="1"/>
  <c r="D3" i="1"/>
  <c r="G3" i="1" s="1"/>
  <c r="H3" i="1" s="1"/>
  <c r="C37" i="4" l="1"/>
  <c r="B42" i="4"/>
  <c r="C42" i="4" s="1"/>
  <c r="F9" i="1"/>
  <c r="B21" i="4"/>
  <c r="C21" i="4" s="1"/>
  <c r="D21" i="4" s="1"/>
  <c r="H5" i="1"/>
  <c r="C17" i="1"/>
  <c r="H8" i="1"/>
  <c r="H6" i="1"/>
  <c r="E9" i="1"/>
  <c r="D9" i="1" s="1"/>
  <c r="B9" i="1"/>
  <c r="B9" i="2"/>
  <c r="H4" i="1"/>
  <c r="B8" i="2"/>
  <c r="C46" i="4" l="1"/>
  <c r="B45" i="4"/>
  <c r="A44" i="4"/>
  <c r="D8" i="2"/>
  <c r="C8" i="2" s="1"/>
  <c r="C9" i="2"/>
  <c r="D9" i="2" s="1"/>
  <c r="G9" i="1"/>
  <c r="H9" i="1" s="1"/>
  <c r="B46" i="4" l="1"/>
  <c r="B47" i="4" s="1" a="1"/>
  <c r="B47" i="4" s="1"/>
  <c r="B52" i="4" l="1"/>
  <c r="C52" i="4" s="1"/>
  <c r="C27" i="1" s="1"/>
  <c r="D52" i="4" l="1"/>
  <c r="E2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<sst xmlns="http://schemas.openxmlformats.org/spreadsheetml/2006/main" count="124" uniqueCount="86">
  <si>
    <t>Arm</t>
  </si>
  <si>
    <t>Moment</t>
  </si>
  <si>
    <t>Min.Fwd</t>
  </si>
  <si>
    <t>Max Fwd</t>
  </si>
  <si>
    <t>Max Rear</t>
  </si>
  <si>
    <t>Min Rear</t>
  </si>
  <si>
    <t>Aircraft Empty Weight</t>
  </si>
  <si>
    <t>Actual 0 Fuel</t>
  </si>
  <si>
    <t>Actual TakeOff</t>
  </si>
  <si>
    <t>Take Off</t>
  </si>
  <si>
    <t>Mom/1000</t>
  </si>
  <si>
    <t>Weight</t>
  </si>
  <si>
    <t>Fuel</t>
  </si>
  <si>
    <t>Liters</t>
  </si>
  <si>
    <t>Mass</t>
  </si>
  <si>
    <t>Aircraft Weight &amp; Balance Data</t>
  </si>
  <si>
    <t>Factors</t>
  </si>
  <si>
    <t>kg_lbs</t>
  </si>
  <si>
    <t>m_inch</t>
  </si>
  <si>
    <t>lbs_gal</t>
  </si>
  <si>
    <t>liter_gal</t>
  </si>
  <si>
    <t>kg_gal</t>
  </si>
  <si>
    <t>Adjust with mouse</t>
  </si>
  <si>
    <t>liter_kg</t>
  </si>
  <si>
    <t>lbs</t>
  </si>
  <si>
    <t>in</t>
  </si>
  <si>
    <t>lb/in</t>
  </si>
  <si>
    <t>Pilot and Front Pax</t>
  </si>
  <si>
    <t>Rear Seats Pax</t>
  </si>
  <si>
    <t>Min. Fwd</t>
  </si>
  <si>
    <t>GAL</t>
  </si>
  <si>
    <t>or fill in  numbers in lbs</t>
  </si>
  <si>
    <t>Baggage Area 1</t>
  </si>
  <si>
    <t>Baggage Area 2</t>
  </si>
  <si>
    <t>kg</t>
  </si>
  <si>
    <t>C-172P</t>
  </si>
  <si>
    <t>m</t>
  </si>
  <si>
    <t>mkg</t>
  </si>
  <si>
    <t xml:space="preserve"> Area 1+2  Max Bag. 120 lbs</t>
  </si>
  <si>
    <t xml:space="preserve"> Area 1      Max. 120 lbs or 54 kg</t>
  </si>
  <si>
    <t xml:space="preserve"> Area 2      Max. 50 lbs or 23kg</t>
  </si>
  <si>
    <t>HB-CQL</t>
  </si>
  <si>
    <t>AFM 04.09.2018</t>
  </si>
  <si>
    <t>Zero Fuel Weight</t>
  </si>
  <si>
    <t>Max. usable fuel</t>
  </si>
  <si>
    <t>Actual fuel</t>
  </si>
  <si>
    <t>Consult current AFM for binding data</t>
  </si>
  <si>
    <t>C.G. must be inside envelope</t>
  </si>
  <si>
    <t>Payload (incl. pilot)</t>
  </si>
  <si>
    <t>MAXIMUM TAKE OFF WEIGHT</t>
  </si>
  <si>
    <t>Pressure Altitude ft</t>
  </si>
  <si>
    <t>Gnd Roll ft</t>
  </si>
  <si>
    <t>X</t>
  </si>
  <si>
    <t>Input</t>
  </si>
  <si>
    <t>Field elevation</t>
  </si>
  <si>
    <t>QNH</t>
  </si>
  <si>
    <t>OAT</t>
  </si>
  <si>
    <t>Wind</t>
  </si>
  <si>
    <t>Distance factor</t>
  </si>
  <si>
    <t>Takeoff Mass</t>
  </si>
  <si>
    <t>Intermediate</t>
  </si>
  <si>
    <t>PA low index</t>
  </si>
  <si>
    <t>PA high index</t>
  </si>
  <si>
    <t>OAT low index</t>
  </si>
  <si>
    <t>OAT high index</t>
  </si>
  <si>
    <t>Dist low PA/low OAT</t>
  </si>
  <si>
    <t>Dist low PA/high OAT</t>
  </si>
  <si>
    <t>Dist high PA/low OAT</t>
  </si>
  <si>
    <t>Dist high PA/high OAT</t>
  </si>
  <si>
    <t>Interpolation</t>
  </si>
  <si>
    <t>Forecast roll low PA</t>
  </si>
  <si>
    <t>Forecast roll high PA</t>
  </si>
  <si>
    <t>Forecast Gnd Roll</t>
  </si>
  <si>
    <t>Ground Roll by MTOM</t>
  </si>
  <si>
    <t>MOTM low index</t>
  </si>
  <si>
    <t>MTOM high index</t>
  </si>
  <si>
    <t>Wind Correction</t>
  </si>
  <si>
    <t>Tailwind increment</t>
  </si>
  <si>
    <t>Headwind decrement</t>
  </si>
  <si>
    <t>Takeoff distance 2400 lbs</t>
  </si>
  <si>
    <t>Takeoff distance 2000 lbs</t>
  </si>
  <si>
    <t>Takeoff distance 2200 lbs</t>
  </si>
  <si>
    <t>For situational awarness only. Not officially approved. Use at your own risk.
Do not use on tablets. Only the desktop version of Excel is working properly.</t>
  </si>
  <si>
    <t>Ground Roll</t>
  </si>
  <si>
    <t>Rev. 27.08.2020</t>
  </si>
  <si>
    <t>Short Field Performance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</si>
</sst>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4" formatCode="0.0"/>
    <numFmt numFmtId="165" formatCode="0.0000"/>
    <numFmt numFmtId="166" formatCode="0.000"/>
    <numFmt numFmtId="167" formatCode="0\ &quot;℃&quot;"/>
    <numFmt numFmtId="168" formatCode="0\ &quot;ft&quot;"/>
    <numFmt numFmtId="169" formatCode="#,##0.00\ &quot;hPa&quot;"/>
    <numFmt numFmtId="170" formatCode="&quot;(&quot;#,##0.00\ &quot; ft)&quot;"/>
    <numFmt numFmtId="171" formatCode="0\ &quot;kts&quot;"/>
    <numFmt numFmtId="172" formatCode="0\ &quot;lbs&quot;"/>
    <numFmt numFmtId="173" formatCode="&quot;(&quot;\ 0\ &quot;lbs)&quot;"/>
    <numFmt numFmtId="174" formatCode="0\ &quot;m&quot;"/>
    <numFmt numFmtId="175" formatCode="0.00\ &quot;ft&quot;"/>
    <numFmt numFmtId="176" formatCode="#,##0\ &quot;hPa&quot;"/>
    <numFmt numFmtId="177" formatCode="0\ &quot;hPa&quot;"/>
    <numFmt numFmtId="178" formatCode="&quot;(&quot;\ 0\ &quot;ft)&quot;"/>
    <numFmt numFmtId="179" formatCode="&quot;(&quot;\ 0\ &quot;m)&quot;"/>
  </numFmts>
  <fonts count="23" x14ac:knownFonts="1">
    <font>
      <sz val="10"/>
      <name val="Arial"/>
    </font>
    <font>
      <sz val="12"/>
      <color theme="1"/>
      <name val="Calibri"/>
      <family val="2"/>
      <scheme val="minor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indexed="53"/>
      <name val="Arial"/>
      <family val="2"/>
    </font>
    <font>
      <b/>
      <sz val="10"/>
      <color indexed="53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8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b/>
      <sz val="12"/>
      <color rgb="FFFF0000"/>
      <name val="Calibri"/>
      <family val="2"/>
    </font>
    <font>
      <sz val="12"/>
      <color rgb="FFFF0000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rgb="FF99FF99"/>
        <bgColor rgb="FF000000"/>
      </patternFill>
    </fill>
    <fill>
      <patternFill patternType="solid">
        <fgColor rgb="FFFF0000"/>
        <bgColor rgb="FF000000"/>
      </patternFill>
    </fill>
  </fills>
  <borders count="6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Dashed">
        <color rgb="FF00B050"/>
      </left>
      <right style="mediumDashed">
        <color rgb="FF00B050"/>
      </right>
      <top style="mediumDashed">
        <color rgb="FF00B050"/>
      </top>
      <bottom style="thin">
        <color indexed="64"/>
      </bottom>
      <diagonal/>
    </border>
    <border>
      <left style="mediumDashed">
        <color rgb="FF00B050"/>
      </left>
      <right style="mediumDashed">
        <color rgb="FF00B050"/>
      </right>
      <top style="thin">
        <color indexed="64"/>
      </top>
      <bottom style="thin">
        <color indexed="64"/>
      </bottom>
      <diagonal/>
    </border>
    <border>
      <left style="mediumDashed">
        <color rgb="FF00B050"/>
      </left>
      <right style="mediumDashed">
        <color rgb="FF00B050"/>
      </right>
      <top style="thin">
        <color indexed="64"/>
      </top>
      <bottom style="mediumDashed">
        <color rgb="FF00B05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Dashed">
        <color rgb="FF06B050"/>
      </left>
      <right style="mediumDashed">
        <color rgb="FF06B050"/>
      </right>
      <top style="mediumDashed">
        <color rgb="FF06B050"/>
      </top>
      <bottom/>
      <diagonal/>
    </border>
    <border>
      <left style="mediumDashed">
        <color rgb="FF06B050"/>
      </left>
      <right style="mediumDashed">
        <color rgb="FF06B050"/>
      </right>
      <top/>
      <bottom/>
      <diagonal/>
    </border>
    <border>
      <left style="mediumDashed">
        <color rgb="FF06B050"/>
      </left>
      <right style="mediumDashed">
        <color rgb="FF06B050"/>
      </right>
      <top/>
      <bottom style="mediumDashed">
        <color rgb="FF06B050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0" fontId="1" fillId="0" borderId="0"/>
  </cellStyleXfs>
  <cellXfs count="227">
    <xf numFmtId="0" fontId="0" fillId="0" borderId="0" xfId="0"/>
    <xf numFmtId="0" fontId="6" fillId="0" borderId="0" xfId="0" applyFont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164" fontId="0" fillId="3" borderId="4" xfId="0" applyNumberFormat="1" applyFill="1" applyBorder="1"/>
    <xf numFmtId="164" fontId="4" fillId="3" borderId="4" xfId="0" applyNumberFormat="1" applyFont="1" applyFill="1" applyBorder="1"/>
    <xf numFmtId="0" fontId="0" fillId="3" borderId="1" xfId="0" applyFill="1" applyBorder="1"/>
    <xf numFmtId="0" fontId="0" fillId="3" borderId="5" xfId="0" applyFill="1" applyBorder="1" applyAlignment="1">
      <alignment horizontal="right"/>
    </xf>
    <xf numFmtId="0" fontId="0" fillId="3" borderId="6" xfId="0" applyFill="1" applyBorder="1" applyAlignment="1">
      <alignment horizontal="right"/>
    </xf>
    <xf numFmtId="0" fontId="0" fillId="3" borderId="2" xfId="0" applyFill="1" applyBorder="1"/>
    <xf numFmtId="0" fontId="0" fillId="3" borderId="3" xfId="0" applyFill="1" applyBorder="1"/>
    <xf numFmtId="164" fontId="5" fillId="3" borderId="7" xfId="0" applyNumberFormat="1" applyFont="1" applyFill="1" applyBorder="1"/>
    <xf numFmtId="165" fontId="0" fillId="2" borderId="6" xfId="0" applyNumberFormat="1" applyFill="1" applyBorder="1"/>
    <xf numFmtId="165" fontId="0" fillId="2" borderId="10" xfId="0" applyNumberFormat="1" applyFill="1" applyBorder="1"/>
    <xf numFmtId="165" fontId="0" fillId="2" borderId="11" xfId="0" applyNumberFormat="1" applyFill="1" applyBorder="1"/>
    <xf numFmtId="165" fontId="0" fillId="0" borderId="0" xfId="0" applyNumberFormat="1"/>
    <xf numFmtId="166" fontId="0" fillId="3" borderId="10" xfId="0" applyNumberFormat="1" applyFill="1" applyBorder="1"/>
    <xf numFmtId="166" fontId="0" fillId="3" borderId="11" xfId="0" applyNumberFormat="1" applyFill="1" applyBorder="1"/>
    <xf numFmtId="1" fontId="11" fillId="15" borderId="31" xfId="0" applyNumberFormat="1" applyFont="1" applyFill="1" applyBorder="1" applyAlignment="1" applyProtection="1">
      <alignment horizontal="center"/>
    </xf>
    <xf numFmtId="2" fontId="11" fillId="15" borderId="33" xfId="0" applyNumberFormat="1" applyFont="1" applyFill="1" applyBorder="1" applyAlignment="1" applyProtection="1">
      <alignment horizontal="center"/>
    </xf>
    <xf numFmtId="4" fontId="11" fillId="15" borderId="15" xfId="0" applyNumberFormat="1" applyFont="1" applyFill="1" applyBorder="1" applyAlignment="1" applyProtection="1">
      <alignment horizontal="center"/>
    </xf>
    <xf numFmtId="0" fontId="7" fillId="0" borderId="9" xfId="0" applyFont="1" applyBorder="1" applyProtection="1"/>
    <xf numFmtId="0" fontId="7" fillId="0" borderId="15" xfId="0" applyFont="1" applyBorder="1" applyProtection="1"/>
    <xf numFmtId="0" fontId="7" fillId="0" borderId="0" xfId="0" applyFont="1" applyProtection="1"/>
    <xf numFmtId="1" fontId="11" fillId="15" borderId="32" xfId="0" applyNumberFormat="1" applyFont="1" applyFill="1" applyBorder="1" applyAlignment="1" applyProtection="1">
      <alignment horizontal="center"/>
    </xf>
    <xf numFmtId="2" fontId="11" fillId="15" borderId="34" xfId="0" applyNumberFormat="1" applyFont="1" applyFill="1" applyBorder="1" applyAlignment="1" applyProtection="1">
      <alignment horizontal="center"/>
    </xf>
    <xf numFmtId="4" fontId="11" fillId="15" borderId="30" xfId="0" applyNumberFormat="1" applyFont="1" applyFill="1" applyBorder="1" applyAlignment="1" applyProtection="1">
      <alignment horizontal="center"/>
    </xf>
    <xf numFmtId="0" fontId="7" fillId="0" borderId="0" xfId="0" applyFont="1" applyBorder="1" applyProtection="1"/>
    <xf numFmtId="0" fontId="7" fillId="0" borderId="30" xfId="0" applyFont="1" applyBorder="1" applyProtection="1"/>
    <xf numFmtId="0" fontId="11" fillId="0" borderId="1" xfId="0" applyFont="1" applyBorder="1" applyAlignment="1" applyProtection="1">
      <alignment vertical="center"/>
    </xf>
    <xf numFmtId="0" fontId="11" fillId="0" borderId="16" xfId="0" applyFont="1" applyFill="1" applyBorder="1" applyAlignment="1" applyProtection="1">
      <alignment horizontal="center" vertical="center"/>
    </xf>
    <xf numFmtId="1" fontId="10" fillId="15" borderId="16" xfId="0" applyNumberFormat="1" applyFont="1" applyFill="1" applyBorder="1" applyAlignment="1" applyProtection="1">
      <alignment vertical="center"/>
    </xf>
    <xf numFmtId="2" fontId="10" fillId="15" borderId="5" xfId="0" applyNumberFormat="1" applyFont="1" applyFill="1" applyBorder="1" applyAlignment="1" applyProtection="1">
      <alignment vertical="center"/>
    </xf>
    <xf numFmtId="4" fontId="10" fillId="15" borderId="6" xfId="0" applyNumberFormat="1" applyFont="1" applyFill="1" applyBorder="1" applyAlignment="1" applyProtection="1">
      <alignment vertical="center"/>
    </xf>
    <xf numFmtId="0" fontId="11" fillId="0" borderId="2" xfId="0" applyFont="1" applyBorder="1" applyAlignment="1" applyProtection="1">
      <alignment vertical="center"/>
    </xf>
    <xf numFmtId="1" fontId="10" fillId="15" borderId="18" xfId="0" applyNumberFormat="1" applyFont="1" applyFill="1" applyBorder="1" applyAlignment="1" applyProtection="1">
      <alignment vertical="center"/>
    </xf>
    <xf numFmtId="2" fontId="10" fillId="15" borderId="4" xfId="0" applyNumberFormat="1" applyFont="1" applyFill="1" applyBorder="1" applyAlignment="1" applyProtection="1">
      <alignment vertical="center"/>
    </xf>
    <xf numFmtId="4" fontId="10" fillId="15" borderId="10" xfId="0" applyNumberFormat="1" applyFont="1" applyFill="1" applyBorder="1" applyAlignment="1" applyProtection="1">
      <alignment vertical="center"/>
    </xf>
    <xf numFmtId="0" fontId="11" fillId="0" borderId="3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vertical="center"/>
    </xf>
    <xf numFmtId="1" fontId="11" fillId="15" borderId="36" xfId="0" applyNumberFormat="1" applyFont="1" applyFill="1" applyBorder="1" applyAlignment="1" applyProtection="1">
      <alignment vertical="center"/>
    </xf>
    <xf numFmtId="2" fontId="10" fillId="15" borderId="7" xfId="0" applyNumberFormat="1" applyFont="1" applyFill="1" applyBorder="1" applyAlignment="1" applyProtection="1">
      <alignment vertical="center"/>
    </xf>
    <xf numFmtId="4" fontId="10" fillId="15" borderId="11" xfId="0" applyNumberFormat="1" applyFont="1" applyFill="1" applyBorder="1" applyAlignment="1" applyProtection="1">
      <alignment vertical="center"/>
    </xf>
    <xf numFmtId="0" fontId="10" fillId="0" borderId="20" xfId="0" applyFont="1" applyBorder="1" applyAlignment="1" applyProtection="1">
      <alignment vertical="center"/>
    </xf>
    <xf numFmtId="0" fontId="11" fillId="0" borderId="13" xfId="0" applyFont="1" applyFill="1" applyBorder="1" applyAlignment="1" applyProtection="1">
      <alignment horizontal="right" vertical="center"/>
    </xf>
    <xf numFmtId="3" fontId="11" fillId="2" borderId="13" xfId="0" applyNumberFormat="1" applyFont="1" applyFill="1" applyBorder="1" applyAlignment="1" applyProtection="1">
      <alignment vertical="center"/>
    </xf>
    <xf numFmtId="3" fontId="10" fillId="12" borderId="35" xfId="0" applyNumberFormat="1" applyFont="1" applyFill="1" applyBorder="1" applyAlignment="1" applyProtection="1">
      <alignment horizontal="right" vertical="center"/>
    </xf>
    <xf numFmtId="3" fontId="10" fillId="0" borderId="15" xfId="0" applyNumberFormat="1" applyFont="1" applyFill="1" applyBorder="1" applyAlignment="1" applyProtection="1">
      <alignment horizontal="center" vertical="center"/>
    </xf>
    <xf numFmtId="2" fontId="10" fillId="12" borderId="6" xfId="0" applyNumberFormat="1" applyFont="1" applyFill="1" applyBorder="1" applyAlignment="1" applyProtection="1">
      <alignment horizontal="right" vertical="center"/>
    </xf>
    <xf numFmtId="4" fontId="10" fillId="0" borderId="9" xfId="0" applyNumberFormat="1" applyFont="1" applyFill="1" applyBorder="1" applyProtection="1"/>
    <xf numFmtId="0" fontId="10" fillId="0" borderId="8" xfId="0" applyFont="1" applyBorder="1" applyAlignment="1" applyProtection="1">
      <alignment vertical="center"/>
    </xf>
    <xf numFmtId="0" fontId="10" fillId="0" borderId="1" xfId="0" applyFont="1" applyBorder="1" applyAlignment="1" applyProtection="1">
      <alignment horizontal="left"/>
    </xf>
    <xf numFmtId="3" fontId="10" fillId="0" borderId="17" xfId="0" applyNumberFormat="1" applyFont="1" applyFill="1" applyBorder="1" applyAlignment="1" applyProtection="1">
      <alignment vertical="center"/>
    </xf>
    <xf numFmtId="3" fontId="10" fillId="0" borderId="6" xfId="0" applyNumberFormat="1" applyFont="1" applyFill="1" applyBorder="1" applyAlignment="1" applyProtection="1">
      <alignment horizontal="right" vertical="center"/>
    </xf>
    <xf numFmtId="3" fontId="10" fillId="0" borderId="30" xfId="0" applyNumberFormat="1" applyFont="1" applyFill="1" applyBorder="1" applyAlignment="1" applyProtection="1">
      <alignment horizontal="center" vertical="center"/>
    </xf>
    <xf numFmtId="1" fontId="10" fillId="0" borderId="41" xfId="0" applyNumberFormat="1" applyFont="1" applyFill="1" applyBorder="1" applyAlignment="1" applyProtection="1">
      <alignment vertical="center"/>
    </xf>
    <xf numFmtId="2" fontId="10" fillId="0" borderId="10" xfId="0" applyNumberFormat="1" applyFont="1" applyBorder="1" applyAlignment="1" applyProtection="1">
      <alignment horizontal="right"/>
    </xf>
    <xf numFmtId="4" fontId="10" fillId="0" borderId="0" xfId="0" applyNumberFormat="1" applyFont="1" applyBorder="1" applyProtection="1"/>
    <xf numFmtId="0" fontId="10" fillId="0" borderId="3" xfId="0" applyFont="1" applyBorder="1" applyAlignment="1" applyProtection="1">
      <alignment horizontal="left" vertical="center"/>
    </xf>
    <xf numFmtId="3" fontId="11" fillId="0" borderId="12" xfId="0" applyNumberFormat="1" applyFont="1" applyFill="1" applyBorder="1" applyAlignment="1" applyProtection="1">
      <alignment vertical="center"/>
    </xf>
    <xf numFmtId="3" fontId="10" fillId="0" borderId="11" xfId="0" applyNumberFormat="1" applyFont="1" applyFill="1" applyBorder="1" applyAlignment="1" applyProtection="1">
      <alignment horizontal="right" vertical="center"/>
    </xf>
    <xf numFmtId="1" fontId="10" fillId="0" borderId="42" xfId="0" applyNumberFormat="1" applyFont="1" applyFill="1" applyBorder="1" applyAlignment="1" applyProtection="1">
      <alignment vertical="center"/>
    </xf>
    <xf numFmtId="2" fontId="10" fillId="0" borderId="11" xfId="0" applyNumberFormat="1" applyFont="1" applyBorder="1" applyAlignment="1" applyProtection="1">
      <alignment horizontal="right"/>
    </xf>
    <xf numFmtId="0" fontId="7" fillId="0" borderId="8" xfId="0" applyFont="1" applyBorder="1" applyProtection="1"/>
    <xf numFmtId="0" fontId="7" fillId="0" borderId="9" xfId="0" applyFont="1" applyFill="1" applyBorder="1" applyAlignment="1" applyProtection="1">
      <alignment horizontal="left"/>
    </xf>
    <xf numFmtId="3" fontId="7" fillId="0" borderId="0" xfId="0" applyNumberFormat="1" applyFont="1" applyFill="1" applyBorder="1" applyAlignment="1" applyProtection="1">
      <alignment horizontal="center"/>
    </xf>
    <xf numFmtId="1" fontId="7" fillId="0" borderId="0" xfId="0" applyNumberFormat="1" applyFont="1" applyBorder="1" applyProtection="1"/>
    <xf numFmtId="2" fontId="7" fillId="0" borderId="0" xfId="0" applyNumberFormat="1" applyFont="1" applyBorder="1" applyProtection="1"/>
    <xf numFmtId="4" fontId="7" fillId="0" borderId="0" xfId="0" applyNumberFormat="1" applyFont="1" applyBorder="1" applyProtection="1"/>
    <xf numFmtId="0" fontId="2" fillId="6" borderId="8" xfId="0" applyFont="1" applyFill="1" applyBorder="1" applyProtection="1"/>
    <xf numFmtId="4" fontId="7" fillId="0" borderId="0" xfId="0" applyNumberFormat="1" applyFont="1" applyFill="1" applyBorder="1" applyAlignment="1" applyProtection="1">
      <alignment horizontal="right"/>
    </xf>
    <xf numFmtId="0" fontId="2" fillId="4" borderId="8" xfId="0" applyFont="1" applyFill="1" applyBorder="1" applyProtection="1"/>
    <xf numFmtId="4" fontId="7" fillId="0" borderId="27" xfId="0" applyNumberFormat="1" applyFont="1" applyFill="1" applyBorder="1" applyAlignment="1" applyProtection="1">
      <alignment horizontal="right"/>
    </xf>
    <xf numFmtId="3" fontId="7" fillId="0" borderId="27" xfId="0" applyNumberFormat="1" applyFont="1" applyFill="1" applyBorder="1" applyAlignment="1" applyProtection="1">
      <alignment horizontal="center"/>
    </xf>
    <xf numFmtId="0" fontId="2" fillId="9" borderId="1" xfId="0" applyFont="1" applyFill="1" applyBorder="1" applyAlignment="1" applyProtection="1">
      <alignment vertical="center"/>
    </xf>
    <xf numFmtId="4" fontId="7" fillId="9" borderId="5" xfId="0" applyNumberFormat="1" applyFont="1" applyFill="1" applyBorder="1" applyAlignment="1" applyProtection="1">
      <alignment horizontal="center" vertical="center"/>
    </xf>
    <xf numFmtId="3" fontId="7" fillId="13" borderId="17" xfId="0" applyNumberFormat="1" applyFont="1" applyFill="1" applyBorder="1" applyAlignment="1" applyProtection="1">
      <alignment horizontal="center" vertical="center"/>
    </xf>
    <xf numFmtId="1" fontId="7" fillId="13" borderId="6" xfId="0" applyNumberFormat="1" applyFont="1" applyFill="1" applyBorder="1" applyAlignment="1" applyProtection="1">
      <alignment horizontal="center" vertical="center"/>
    </xf>
    <xf numFmtId="0" fontId="7" fillId="9" borderId="2" xfId="0" applyFont="1" applyFill="1" applyBorder="1" applyAlignment="1" applyProtection="1">
      <alignment vertical="center"/>
    </xf>
    <xf numFmtId="3" fontId="7" fillId="9" borderId="4" xfId="0" applyNumberFormat="1" applyFont="1" applyFill="1" applyBorder="1" applyAlignment="1" applyProtection="1">
      <alignment horizontal="center" vertical="center"/>
    </xf>
    <xf numFmtId="3" fontId="2" fillId="9" borderId="4" xfId="0" applyNumberFormat="1" applyFont="1" applyFill="1" applyBorder="1" applyAlignment="1" applyProtection="1">
      <alignment horizontal="center" vertical="center"/>
    </xf>
    <xf numFmtId="3" fontId="7" fillId="9" borderId="19" xfId="0" applyNumberFormat="1" applyFont="1" applyFill="1" applyBorder="1" applyAlignment="1" applyProtection="1">
      <alignment horizontal="center" vertical="center"/>
    </xf>
    <xf numFmtId="1" fontId="7" fillId="13" borderId="10" xfId="0" applyNumberFormat="1" applyFont="1" applyFill="1" applyBorder="1" applyAlignment="1" applyProtection="1">
      <alignment horizontal="center" vertical="center"/>
    </xf>
    <xf numFmtId="0" fontId="7" fillId="5" borderId="3" xfId="0" applyFont="1" applyFill="1" applyBorder="1" applyAlignment="1" applyProtection="1">
      <alignment vertical="center"/>
    </xf>
    <xf numFmtId="3" fontId="3" fillId="5" borderId="7" xfId="0" applyNumberFormat="1" applyFont="1" applyFill="1" applyBorder="1" applyAlignment="1" applyProtection="1">
      <alignment horizontal="center" vertical="center"/>
    </xf>
    <xf numFmtId="3" fontId="9" fillId="10" borderId="12" xfId="0" applyNumberFormat="1" applyFont="1" applyFill="1" applyBorder="1" applyAlignment="1" applyProtection="1">
      <alignment horizontal="center" vertical="center"/>
    </xf>
    <xf numFmtId="1" fontId="7" fillId="10" borderId="11" xfId="0" applyNumberFormat="1" applyFont="1" applyFill="1" applyBorder="1" applyAlignment="1" applyProtection="1">
      <alignment horizontal="center" vertical="center"/>
    </xf>
    <xf numFmtId="0" fontId="3" fillId="0" borderId="8" xfId="0" applyFont="1" applyBorder="1" applyProtection="1"/>
    <xf numFmtId="164" fontId="7" fillId="0" borderId="0" xfId="0" applyNumberFormat="1" applyFont="1" applyBorder="1" applyProtection="1"/>
    <xf numFmtId="3" fontId="7" fillId="0" borderId="0" xfId="0" applyNumberFormat="1" applyFont="1" applyBorder="1" applyProtection="1"/>
    <xf numFmtId="164" fontId="3" fillId="0" borderId="0" xfId="0" applyNumberFormat="1" applyFont="1" applyBorder="1" applyProtection="1"/>
    <xf numFmtId="1" fontId="3" fillId="0" borderId="0" xfId="0" applyNumberFormat="1" applyFont="1" applyBorder="1" applyProtection="1"/>
    <xf numFmtId="0" fontId="7" fillId="0" borderId="20" xfId="0" applyFont="1" applyBorder="1" applyProtection="1"/>
    <xf numFmtId="0" fontId="8" fillId="0" borderId="28" xfId="0" applyFont="1" applyBorder="1" applyProtection="1"/>
    <xf numFmtId="164" fontId="7" fillId="0" borderId="0" xfId="0" applyNumberFormat="1" applyFont="1" applyProtection="1"/>
    <xf numFmtId="164" fontId="3" fillId="0" borderId="0" xfId="0" applyNumberFormat="1" applyFont="1" applyProtection="1"/>
    <xf numFmtId="3" fontId="7" fillId="0" borderId="0" xfId="0" applyNumberFormat="1" applyFont="1" applyProtection="1"/>
    <xf numFmtId="1" fontId="7" fillId="0" borderId="0" xfId="0" applyNumberFormat="1" applyFont="1" applyProtection="1"/>
    <xf numFmtId="2" fontId="7" fillId="0" borderId="0" xfId="0" applyNumberFormat="1" applyFont="1" applyProtection="1"/>
    <xf numFmtId="4" fontId="7" fillId="0" borderId="0" xfId="0" applyNumberFormat="1" applyFont="1" applyProtection="1"/>
    <xf numFmtId="2" fontId="3" fillId="0" borderId="0" xfId="0" applyNumberFormat="1" applyFont="1" applyProtection="1"/>
    <xf numFmtId="0" fontId="7" fillId="0" borderId="0" xfId="0" applyFont="1" applyAlignment="1" applyProtection="1">
      <alignment horizontal="right"/>
    </xf>
    <xf numFmtId="0" fontId="3" fillId="0" borderId="0" xfId="0" applyFont="1" applyProtection="1"/>
    <xf numFmtId="164" fontId="11" fillId="11" borderId="39" xfId="0" applyNumberFormat="1" applyFont="1" applyFill="1" applyBorder="1" applyAlignment="1" applyProtection="1">
      <alignment horizontal="center" vertical="center"/>
    </xf>
    <xf numFmtId="0" fontId="11" fillId="11" borderId="33" xfId="0" applyFont="1" applyFill="1" applyBorder="1" applyAlignment="1" applyProtection="1">
      <alignment horizontal="center" vertical="center"/>
    </xf>
    <xf numFmtId="3" fontId="11" fillId="11" borderId="37" xfId="0" applyNumberFormat="1" applyFont="1" applyFill="1" applyBorder="1" applyAlignment="1" applyProtection="1">
      <alignment horizontal="center" vertical="center"/>
    </xf>
    <xf numFmtId="164" fontId="11" fillId="11" borderId="40" xfId="0" applyNumberFormat="1" applyFont="1" applyFill="1" applyBorder="1" applyAlignment="1" applyProtection="1">
      <alignment horizontal="center" vertical="center"/>
    </xf>
    <xf numFmtId="166" fontId="11" fillId="11" borderId="34" xfId="0" applyNumberFormat="1" applyFont="1" applyFill="1" applyBorder="1" applyAlignment="1" applyProtection="1">
      <alignment horizontal="center" vertical="center"/>
    </xf>
    <xf numFmtId="3" fontId="11" fillId="11" borderId="38" xfId="0" applyNumberFormat="1" applyFont="1" applyFill="1" applyBorder="1" applyAlignment="1" applyProtection="1">
      <alignment horizontal="center" vertical="center"/>
    </xf>
    <xf numFmtId="4" fontId="10" fillId="11" borderId="5" xfId="0" applyNumberFormat="1" applyFont="1" applyFill="1" applyBorder="1" applyAlignment="1" applyProtection="1">
      <alignment vertical="center"/>
    </xf>
    <xf numFmtId="3" fontId="10" fillId="11" borderId="6" xfId="0" applyNumberFormat="1" applyFont="1" applyFill="1" applyBorder="1" applyAlignment="1" applyProtection="1">
      <alignment vertical="center"/>
    </xf>
    <xf numFmtId="3" fontId="10" fillId="11" borderId="10" xfId="0" applyNumberFormat="1" applyFont="1" applyFill="1" applyBorder="1" applyAlignment="1" applyProtection="1">
      <alignment vertical="center"/>
    </xf>
    <xf numFmtId="4" fontId="11" fillId="11" borderId="7" xfId="0" applyNumberFormat="1" applyFont="1" applyFill="1" applyBorder="1" applyAlignment="1" applyProtection="1">
      <alignment vertical="center"/>
    </xf>
    <xf numFmtId="3" fontId="11" fillId="11" borderId="11" xfId="0" applyNumberFormat="1" applyFont="1" applyFill="1" applyBorder="1" applyAlignment="1" applyProtection="1">
      <alignment vertical="center"/>
    </xf>
    <xf numFmtId="0" fontId="10" fillId="6" borderId="41" xfId="0" applyFont="1" applyFill="1" applyBorder="1" applyAlignment="1" applyProtection="1">
      <alignment vertical="center"/>
    </xf>
    <xf numFmtId="4" fontId="10" fillId="11" borderId="18" xfId="0" applyNumberFormat="1" applyFont="1" applyFill="1" applyBorder="1" applyAlignment="1" applyProtection="1">
      <alignment vertical="center"/>
    </xf>
    <xf numFmtId="3" fontId="10" fillId="11" borderId="33" xfId="0" applyNumberFormat="1" applyFont="1" applyFill="1" applyBorder="1" applyAlignment="1" applyProtection="1">
      <alignment vertical="center"/>
    </xf>
    <xf numFmtId="3" fontId="11" fillId="11" borderId="34" xfId="0" applyNumberFormat="1" applyFont="1" applyFill="1" applyBorder="1" applyAlignment="1" applyProtection="1">
      <alignment vertical="center"/>
    </xf>
    <xf numFmtId="3" fontId="10" fillId="14" borderId="43" xfId="0" applyNumberFormat="1" applyFont="1" applyFill="1" applyBorder="1" applyAlignment="1" applyProtection="1">
      <alignment vertical="center"/>
      <protection locked="0"/>
    </xf>
    <xf numFmtId="3" fontId="10" fillId="14" borderId="44" xfId="0" applyNumberFormat="1" applyFont="1" applyFill="1" applyBorder="1" applyAlignment="1" applyProtection="1">
      <alignment vertical="center"/>
      <protection locked="0"/>
    </xf>
    <xf numFmtId="3" fontId="10" fillId="14" borderId="45" xfId="0" applyNumberFormat="1" applyFont="1" applyFill="1" applyBorder="1" applyAlignment="1" applyProtection="1">
      <alignment vertical="center"/>
      <protection locked="0"/>
    </xf>
    <xf numFmtId="0" fontId="1" fillId="0" borderId="0" xfId="1"/>
    <xf numFmtId="0" fontId="16" fillId="0" borderId="0" xfId="1" applyFont="1"/>
    <xf numFmtId="0" fontId="1" fillId="0" borderId="13" xfId="1" applyBorder="1"/>
    <xf numFmtId="167" fontId="1" fillId="0" borderId="1" xfId="1" applyNumberFormat="1" applyBorder="1" applyAlignment="1">
      <alignment horizontal="center" vertical="center"/>
    </xf>
    <xf numFmtId="167" fontId="1" fillId="0" borderId="46" xfId="1" applyNumberFormat="1" applyBorder="1" applyAlignment="1">
      <alignment horizontal="center" vertical="center"/>
    </xf>
    <xf numFmtId="0" fontId="16" fillId="0" borderId="13" xfId="1" applyFont="1" applyBorder="1"/>
    <xf numFmtId="167" fontId="16" fillId="0" borderId="1" xfId="1" applyNumberFormat="1" applyFont="1" applyBorder="1" applyAlignment="1">
      <alignment horizontal="center" vertical="center"/>
    </xf>
    <xf numFmtId="167" fontId="16" fillId="0" borderId="46" xfId="1" applyNumberFormat="1" applyFont="1" applyBorder="1" applyAlignment="1">
      <alignment horizontal="center" vertical="center"/>
    </xf>
    <xf numFmtId="0" fontId="1" fillId="0" borderId="26" xfId="1" applyBorder="1"/>
    <xf numFmtId="0" fontId="1" fillId="0" borderId="3" xfId="1" applyBorder="1"/>
    <xf numFmtId="0" fontId="1" fillId="0" borderId="47" xfId="1" applyBorder="1"/>
    <xf numFmtId="0" fontId="16" fillId="0" borderId="32" xfId="1" applyFont="1" applyBorder="1"/>
    <xf numFmtId="0" fontId="16" fillId="0" borderId="48" xfId="1" applyFont="1" applyBorder="1"/>
    <xf numFmtId="1" fontId="1" fillId="0" borderId="49" xfId="1" applyNumberFormat="1" applyBorder="1"/>
    <xf numFmtId="1" fontId="1" fillId="0" borderId="50" xfId="1" applyNumberFormat="1" applyBorder="1"/>
    <xf numFmtId="1" fontId="1" fillId="0" borderId="51" xfId="1" applyNumberFormat="1" applyBorder="1"/>
    <xf numFmtId="1" fontId="16" fillId="0" borderId="49" xfId="1" applyNumberFormat="1" applyFont="1" applyBorder="1"/>
    <xf numFmtId="1" fontId="16" fillId="0" borderId="50" xfId="1" applyNumberFormat="1" applyFont="1" applyBorder="1"/>
    <xf numFmtId="1" fontId="16" fillId="0" borderId="51" xfId="1" applyNumberFormat="1" applyFont="1" applyBorder="1"/>
    <xf numFmtId="1" fontId="1" fillId="0" borderId="25" xfId="1" applyNumberFormat="1" applyBorder="1"/>
    <xf numFmtId="1" fontId="1" fillId="0" borderId="2" xfId="1" applyNumberFormat="1" applyBorder="1"/>
    <xf numFmtId="1" fontId="1" fillId="0" borderId="52" xfId="1" applyNumberFormat="1" applyBorder="1"/>
    <xf numFmtId="1" fontId="1" fillId="16" borderId="52" xfId="1" applyNumberFormat="1" applyFill="1" applyBorder="1"/>
    <xf numFmtId="1" fontId="1" fillId="0" borderId="26" xfId="1" applyNumberFormat="1" applyBorder="1"/>
    <xf numFmtId="1" fontId="1" fillId="0" borderId="3" xfId="1" applyNumberFormat="1" applyBorder="1"/>
    <xf numFmtId="1" fontId="1" fillId="16" borderId="3" xfId="1" applyNumberFormat="1" applyFill="1" applyBorder="1"/>
    <xf numFmtId="1" fontId="1" fillId="16" borderId="47" xfId="1" applyNumberFormat="1" applyFill="1" applyBorder="1"/>
    <xf numFmtId="1" fontId="1" fillId="0" borderId="47" xfId="1" applyNumberFormat="1" applyBorder="1"/>
    <xf numFmtId="1" fontId="16" fillId="0" borderId="26" xfId="1" applyNumberFormat="1" applyFont="1" applyBorder="1"/>
    <xf numFmtId="1" fontId="16" fillId="0" borderId="3" xfId="1" applyNumberFormat="1" applyFont="1" applyBorder="1"/>
    <xf numFmtId="1" fontId="16" fillId="0" borderId="47" xfId="1" applyNumberFormat="1" applyFont="1" applyBorder="1"/>
    <xf numFmtId="0" fontId="13" fillId="17" borderId="13" xfId="1" applyFont="1" applyFill="1" applyBorder="1"/>
    <xf numFmtId="0" fontId="1" fillId="17" borderId="9" xfId="1" applyFill="1" applyBorder="1"/>
    <xf numFmtId="0" fontId="1" fillId="17" borderId="15" xfId="1" applyFill="1" applyBorder="1"/>
    <xf numFmtId="0" fontId="1" fillId="17" borderId="8" xfId="1" applyFill="1" applyBorder="1"/>
    <xf numFmtId="168" fontId="1" fillId="17" borderId="0" xfId="1" applyNumberFormat="1" applyFill="1"/>
    <xf numFmtId="0" fontId="1" fillId="17" borderId="30" xfId="1" applyFill="1" applyBorder="1"/>
    <xf numFmtId="169" fontId="1" fillId="17" borderId="0" xfId="1" applyNumberFormat="1" applyFill="1"/>
    <xf numFmtId="170" fontId="1" fillId="17" borderId="30" xfId="1" applyNumberFormat="1" applyFill="1" applyBorder="1"/>
    <xf numFmtId="167" fontId="1" fillId="17" borderId="0" xfId="1" applyNumberFormat="1" applyFill="1"/>
    <xf numFmtId="171" fontId="1" fillId="17" borderId="0" xfId="1" applyNumberFormat="1" applyFill="1"/>
    <xf numFmtId="9" fontId="1" fillId="17" borderId="0" xfId="1" applyNumberFormat="1" applyFill="1"/>
    <xf numFmtId="0" fontId="1" fillId="17" borderId="14" xfId="1" applyFill="1" applyBorder="1"/>
    <xf numFmtId="172" fontId="1" fillId="17" borderId="27" xfId="1" applyNumberFormat="1" applyFill="1" applyBorder="1"/>
    <xf numFmtId="173" fontId="1" fillId="17" borderId="53" xfId="1" applyNumberFormat="1" applyFill="1" applyBorder="1"/>
    <xf numFmtId="0" fontId="13" fillId="0" borderId="0" xfId="1" applyFont="1"/>
    <xf numFmtId="168" fontId="1" fillId="0" borderId="0" xfId="1" applyNumberFormat="1"/>
    <xf numFmtId="174" fontId="1" fillId="0" borderId="0" xfId="1" applyNumberFormat="1"/>
    <xf numFmtId="175" fontId="1" fillId="0" borderId="0" xfId="1" applyNumberFormat="1"/>
    <xf numFmtId="172" fontId="1" fillId="0" borderId="0" xfId="1" applyNumberFormat="1"/>
    <xf numFmtId="172" fontId="13" fillId="0" borderId="0" xfId="1" applyNumberFormat="1" applyFont="1"/>
    <xf numFmtId="168" fontId="13" fillId="0" borderId="0" xfId="1" applyNumberFormat="1" applyFont="1"/>
    <xf numFmtId="174" fontId="13" fillId="0" borderId="0" xfId="1" applyNumberFormat="1" applyFont="1"/>
    <xf numFmtId="3" fontId="7" fillId="0" borderId="0" xfId="0" applyNumberFormat="1" applyFont="1" applyAlignment="1">
      <alignment horizontal="center" vertical="center"/>
    </xf>
    <xf numFmtId="0" fontId="0" fillId="0" borderId="8" xfId="0" applyBorder="1"/>
    <xf numFmtId="178" fontId="7" fillId="0" borderId="0" xfId="0" applyNumberFormat="1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164" fontId="7" fillId="0" borderId="0" xfId="0" applyNumberFormat="1" applyFont="1"/>
    <xf numFmtId="0" fontId="2" fillId="0" borderId="28" xfId="0" applyFont="1" applyBorder="1"/>
    <xf numFmtId="179" fontId="2" fillId="0" borderId="29" xfId="0" applyNumberFormat="1" applyFont="1" applyBorder="1" applyAlignment="1">
      <alignment horizontal="left"/>
    </xf>
    <xf numFmtId="0" fontId="18" fillId="0" borderId="0" xfId="0" applyFont="1"/>
    <xf numFmtId="3" fontId="18" fillId="0" borderId="0" xfId="0" applyNumberFormat="1" applyFont="1" applyAlignment="1">
      <alignment horizontal="center"/>
    </xf>
    <xf numFmtId="3" fontId="18" fillId="0" borderId="0" xfId="0" applyNumberFormat="1" applyFont="1" applyAlignment="1">
      <alignment horizontal="center" vertical="center"/>
    </xf>
    <xf numFmtId="3" fontId="19" fillId="0" borderId="0" xfId="0" applyNumberFormat="1" applyFont="1" applyAlignment="1">
      <alignment horizontal="center" vertical="center"/>
    </xf>
    <xf numFmtId="0" fontId="19" fillId="0" borderId="8" xfId="0" applyFont="1" applyBorder="1" applyAlignment="1">
      <alignment vertical="center"/>
    </xf>
    <xf numFmtId="168" fontId="18" fillId="0" borderId="0" xfId="0" applyNumberFormat="1" applyFont="1"/>
    <xf numFmtId="168" fontId="18" fillId="18" borderId="54" xfId="0" applyNumberFormat="1" applyFont="1" applyFill="1" applyBorder="1" applyAlignment="1" applyProtection="1">
      <alignment vertical="center"/>
      <protection locked="0"/>
    </xf>
    <xf numFmtId="176" fontId="18" fillId="0" borderId="0" xfId="0" applyNumberFormat="1" applyFont="1"/>
    <xf numFmtId="177" fontId="18" fillId="18" borderId="55" xfId="0" applyNumberFormat="1" applyFont="1" applyFill="1" applyBorder="1" applyAlignment="1" applyProtection="1">
      <alignment vertical="center"/>
      <protection locked="0"/>
    </xf>
    <xf numFmtId="167" fontId="18" fillId="18" borderId="56" xfId="0" applyNumberFormat="1" applyFont="1" applyFill="1" applyBorder="1" applyAlignment="1" applyProtection="1">
      <alignment vertical="center"/>
      <protection locked="0"/>
    </xf>
    <xf numFmtId="171" fontId="18" fillId="0" borderId="0" xfId="0" applyNumberFormat="1" applyFont="1" applyAlignment="1">
      <alignment vertical="center"/>
    </xf>
    <xf numFmtId="3" fontId="20" fillId="0" borderId="0" xfId="0" applyNumberFormat="1" applyFont="1" applyAlignment="1" applyProtection="1">
      <alignment horizontal="center" vertical="center" wrapText="1"/>
      <protection locked="0"/>
    </xf>
    <xf numFmtId="9" fontId="18" fillId="0" borderId="0" xfId="0" applyNumberFormat="1" applyFont="1"/>
    <xf numFmtId="0" fontId="20" fillId="0" borderId="0" xfId="0" applyFont="1" applyProtection="1">
      <protection locked="0"/>
    </xf>
    <xf numFmtId="0" fontId="21" fillId="0" borderId="8" xfId="0" applyFont="1" applyBorder="1"/>
    <xf numFmtId="172" fontId="22" fillId="0" borderId="0" xfId="0" applyNumberFormat="1" applyFont="1"/>
    <xf numFmtId="164" fontId="18" fillId="0" borderId="0" xfId="0" applyNumberFormat="1" applyFont="1"/>
    <xf numFmtId="0" fontId="19" fillId="0" borderId="20" xfId="0" applyFont="1" applyBorder="1"/>
    <xf numFmtId="178" fontId="1" fillId="0" borderId="0" xfId="1" applyNumberFormat="1"/>
    <xf numFmtId="1" fontId="11" fillId="12" borderId="16" xfId="0" applyNumberFormat="1" applyFont="1" applyFill="1" applyBorder="1" applyAlignment="1" applyProtection="1">
      <alignment horizontal="right" vertical="center"/>
    </xf>
    <xf numFmtId="0" fontId="8" fillId="8" borderId="28" xfId="0" applyFont="1" applyFill="1" applyBorder="1" applyAlignment="1" applyProtection="1">
      <alignment horizontal="center"/>
    </xf>
    <xf numFmtId="0" fontId="8" fillId="8" borderId="28" xfId="0" applyFont="1" applyFill="1" applyBorder="1" applyAlignment="1" applyProtection="1">
      <alignment horizontal="center" vertical="center"/>
    </xf>
    <xf numFmtId="0" fontId="8" fillId="8" borderId="29" xfId="0" applyFont="1" applyFill="1" applyBorder="1" applyAlignment="1" applyProtection="1">
      <alignment horizontal="center" vertical="center"/>
    </xf>
    <xf numFmtId="0" fontId="12" fillId="0" borderId="13" xfId="0" applyFont="1" applyBorder="1" applyAlignment="1" applyProtection="1">
      <alignment vertical="center"/>
    </xf>
    <xf numFmtId="0" fontId="10" fillId="0" borderId="14" xfId="0" applyFont="1" applyBorder="1" applyAlignment="1" applyProtection="1">
      <alignment vertical="center"/>
    </xf>
    <xf numFmtId="0" fontId="12" fillId="0" borderId="39" xfId="0" applyFont="1" applyBorder="1" applyAlignment="1" applyProtection="1">
      <alignment horizontal="center" vertical="center"/>
    </xf>
    <xf numFmtId="0" fontId="10" fillId="0" borderId="40" xfId="0" applyFont="1" applyBorder="1" applyAlignment="1" applyProtection="1">
      <alignment horizontal="center" vertical="center"/>
    </xf>
    <xf numFmtId="0" fontId="7" fillId="7" borderId="25" xfId="0" applyFont="1" applyFill="1" applyBorder="1" applyAlignment="1" applyProtection="1">
      <alignment horizontal="left" vertical="center"/>
    </xf>
    <xf numFmtId="0" fontId="7" fillId="7" borderId="21" xfId="0" applyFont="1" applyFill="1" applyBorder="1" applyAlignment="1" applyProtection="1">
      <alignment horizontal="left" vertical="center"/>
    </xf>
    <xf numFmtId="0" fontId="7" fillId="7" borderId="23" xfId="0" applyFont="1" applyFill="1" applyBorder="1" applyAlignment="1" applyProtection="1">
      <alignment horizontal="left" vertical="center"/>
    </xf>
    <xf numFmtId="0" fontId="7" fillId="7" borderId="24" xfId="0" applyFont="1" applyFill="1" applyBorder="1" applyAlignment="1" applyProtection="1">
      <alignment horizontal="left" vertical="center"/>
    </xf>
    <xf numFmtId="0" fontId="7" fillId="7" borderId="26" xfId="0" applyFont="1" applyFill="1" applyBorder="1" applyAlignment="1" applyProtection="1">
      <alignment horizontal="left" vertical="center"/>
    </xf>
    <xf numFmtId="0" fontId="7" fillId="7" borderId="22" xfId="0" applyFont="1" applyFill="1" applyBorder="1" applyAlignment="1" applyProtection="1">
      <alignment horizontal="left" vertical="center"/>
    </xf>
    <xf numFmtId="3" fontId="20" fillId="19" borderId="13" xfId="0" applyNumberFormat="1" applyFont="1" applyFill="1" applyBorder="1" applyAlignment="1">
      <alignment horizontal="center" vertical="center" wrapText="1"/>
    </xf>
    <xf numFmtId="3" fontId="20" fillId="19" borderId="57" xfId="0" applyNumberFormat="1" applyFont="1" applyFill="1" applyBorder="1" applyAlignment="1">
      <alignment horizontal="center" vertical="center" wrapText="1"/>
    </xf>
    <xf numFmtId="3" fontId="20" fillId="19" borderId="8" xfId="0" applyNumberFormat="1" applyFont="1" applyFill="1" applyBorder="1" applyAlignment="1">
      <alignment horizontal="center" vertical="center" wrapText="1"/>
    </xf>
    <xf numFmtId="3" fontId="20" fillId="19" borderId="58" xfId="0" applyNumberFormat="1" applyFont="1" applyFill="1" applyBorder="1" applyAlignment="1">
      <alignment horizontal="center" vertical="center" wrapText="1"/>
    </xf>
    <xf numFmtId="3" fontId="20" fillId="19" borderId="59" xfId="0" applyNumberFormat="1" applyFont="1" applyFill="1" applyBorder="1" applyAlignment="1">
      <alignment horizontal="center" vertical="center" wrapText="1"/>
    </xf>
    <xf numFmtId="3" fontId="20" fillId="19" borderId="60" xfId="0" applyNumberFormat="1" applyFont="1" applyFill="1" applyBorder="1" applyAlignment="1">
      <alignment horizontal="center" vertical="center" wrapText="1"/>
    </xf>
    <xf numFmtId="173" fontId="22" fillId="0" borderId="27" xfId="0" applyNumberFormat="1" applyFont="1" applyBorder="1"/>
    <xf numFmtId="168" fontId="2" fillId="0" borderId="28" xfId="0" applyNumberFormat="1" applyFont="1" applyBorder="1"/>
    <xf numFmtId="0" fontId="17" fillId="0" borderId="8" xfId="0" applyFont="1" applyBorder="1" applyAlignment="1">
      <alignment vertical="center"/>
    </xf>
    <xf numFmtId="0" fontId="0" fillId="0" borderId="0" xfId="0" applyAlignment="1"/>
    <xf numFmtId="0" fontId="14" fillId="0" borderId="0" xfId="1" applyFont="1" applyAlignment="1">
      <alignment horizontal="center"/>
    </xf>
    <xf numFmtId="0" fontId="15" fillId="0" borderId="0" xfId="1" applyFont="1" applyAlignment="1">
      <alignment horizontal="center"/>
    </xf>
  </cellXfs>
  <cellStyles count="2">
    <cellStyle name="Normal" xfId="0" builtinId="0"/>
    <cellStyle name="Normal 2" xfId="1" xr:uid="{17087DDD-A2B2-9442-BB54-9201C3DD303C}"/>
  </cellStyles>
  <dxfs count="2">
    <dxf>
      <fill>
        <patternFill>
          <bgColor indexed="10"/>
        </patternFill>
      </fill>
    </dxf>
    <dxf>
      <fill>
        <patternFill>
          <bgColor indexed="11"/>
        </patternFill>
      </fill>
    </dxf>
  </dxfs>
  <tableStyles count="0" defaultTableStyle="TableStyleMedium2" defaultPivotStyle="PivotStyleLight16"/>
  <colors>
    <mruColors>
      <color rgb="FF99FF99"/>
      <color rgb="FFCCFFCC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CENTER OF GRAVITY LIMITS</a:t>
            </a:r>
          </a:p>
        </c:rich>
      </c:tx>
      <c:layout>
        <c:manualLayout>
          <c:xMode val="edge"/>
          <c:yMode val="edge"/>
          <c:x val="0.25085536361186789"/>
          <c:y val="3.08817167084883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659459608932941"/>
          <c:y val="0.15278372450803732"/>
          <c:w val="0.79969667517463361"/>
          <c:h val="0.70703106554251316"/>
        </c:manualLayout>
      </c:layout>
      <c:scatterChart>
        <c:scatterStyle val="lineMarker"/>
        <c:varyColors val="0"/>
        <c:ser>
          <c:idx val="0"/>
          <c:order val="0"/>
          <c:spPr>
            <a:ln w="38100">
              <a:solidFill>
                <a:srgbClr val="000080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Definitions!$C$3:$C$7</c:f>
              <c:numCache>
                <c:formatCode>0.000</c:formatCode>
                <c:ptCount val="5"/>
                <c:pt idx="0">
                  <c:v>35</c:v>
                </c:pt>
                <c:pt idx="1">
                  <c:v>35</c:v>
                </c:pt>
                <c:pt idx="2">
                  <c:v>40.6</c:v>
                </c:pt>
                <c:pt idx="3">
                  <c:v>47.3</c:v>
                </c:pt>
                <c:pt idx="4">
                  <c:v>47.3</c:v>
                </c:pt>
              </c:numCache>
            </c:numRef>
          </c:xVal>
          <c:yVal>
            <c:numRef>
              <c:f>Definitions!$B$3:$B$7</c:f>
              <c:numCache>
                <c:formatCode>0.0</c:formatCode>
                <c:ptCount val="5"/>
                <c:pt idx="0">
                  <c:v>1500</c:v>
                </c:pt>
                <c:pt idx="1">
                  <c:v>1950</c:v>
                </c:pt>
                <c:pt idx="2">
                  <c:v>2550</c:v>
                </c:pt>
                <c:pt idx="3">
                  <c:v>2550</c:v>
                </c:pt>
                <c:pt idx="4">
                  <c:v>1500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9AD-496E-86B9-ACABB458D11B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xVal>
            <c:numRef>
              <c:f>Definitions!$C$8:$C$9</c:f>
              <c:numCache>
                <c:formatCode>0.000</c:formatCode>
                <c:ptCount val="2"/>
                <c:pt idx="0">
                  <c:v>38.430857706210979</c:v>
                </c:pt>
                <c:pt idx="1">
                  <c:v>38.430857706210979</c:v>
                </c:pt>
              </c:numCache>
            </c:numRef>
          </c:xVal>
          <c:yVal>
            <c:numRef>
              <c:f>Definitions!$B$8:$B$9</c:f>
              <c:numCache>
                <c:formatCode>0.0</c:formatCode>
                <c:ptCount val="2"/>
                <c:pt idx="0">
                  <c:v>1521.5</c:v>
                </c:pt>
                <c:pt idx="1">
                  <c:v>1521.5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9AD-496E-86B9-ACABB458D1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8432392"/>
        <c:axId val="1"/>
      </c:scatterChart>
      <c:valAx>
        <c:axId val="378432392"/>
        <c:scaling>
          <c:orientation val="minMax"/>
          <c:max val="48"/>
          <c:min val="34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AIRPLANE C.G. LOCATION IN.LBS</a:t>
                </a:r>
              </a:p>
            </c:rich>
          </c:tx>
          <c:layout>
            <c:manualLayout>
              <c:xMode val="edge"/>
              <c:yMode val="edge"/>
              <c:x val="0.31622985339760284"/>
              <c:y val="0.9183277090363705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CH"/>
          </a:p>
        </c:txPr>
        <c:crossAx val="1"/>
        <c:crosses val="autoZero"/>
        <c:crossBetween val="midCat"/>
        <c:majorUnit val="1"/>
        <c:minorUnit val="0.2"/>
      </c:valAx>
      <c:valAx>
        <c:axId val="1"/>
        <c:scaling>
          <c:orientation val="minMax"/>
          <c:max val="2650"/>
          <c:min val="14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LOADES AIRPLANE WEIGHT LBS</a:t>
                </a:r>
              </a:p>
            </c:rich>
          </c:tx>
          <c:layout>
            <c:manualLayout>
              <c:xMode val="edge"/>
              <c:yMode val="edge"/>
              <c:x val="2.8886360687803762E-2"/>
              <c:y val="0.2535559978079663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CH"/>
          </a:p>
        </c:txPr>
        <c:crossAx val="378432392"/>
        <c:crosses val="autoZero"/>
        <c:crossBetween val="midCat"/>
        <c:majorUnit val="100"/>
        <c:minorUnit val="2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CH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CENTER OF GRAVITY MOMENT ENVELOPE</a:t>
            </a:r>
          </a:p>
        </c:rich>
      </c:tx>
      <c:layout>
        <c:manualLayout>
          <c:xMode val="edge"/>
          <c:yMode val="edge"/>
          <c:x val="0.24094624031515471"/>
          <c:y val="3.42063525481774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860322024120685"/>
          <c:y val="0.16675574559059331"/>
          <c:w val="0.8248344470642921"/>
          <c:h val="0.67557455905932662"/>
        </c:manualLayout>
      </c:layout>
      <c:scatterChart>
        <c:scatterStyle val="lineMarker"/>
        <c:varyColors val="0"/>
        <c:ser>
          <c:idx val="0"/>
          <c:order val="0"/>
          <c:spPr>
            <a:ln w="38100">
              <a:solidFill>
                <a:srgbClr val="000080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Definitions!$D$3:$D$7</c:f>
              <c:numCache>
                <c:formatCode>0.0</c:formatCode>
                <c:ptCount val="5"/>
                <c:pt idx="0">
                  <c:v>52.5</c:v>
                </c:pt>
                <c:pt idx="1">
                  <c:v>68.25</c:v>
                </c:pt>
                <c:pt idx="2">
                  <c:v>103.53</c:v>
                </c:pt>
                <c:pt idx="3">
                  <c:v>120.61499999999999</c:v>
                </c:pt>
                <c:pt idx="4">
                  <c:v>70.95</c:v>
                </c:pt>
              </c:numCache>
            </c:numRef>
          </c:xVal>
          <c:yVal>
            <c:numRef>
              <c:f>Definitions!$B$3:$B$7</c:f>
              <c:numCache>
                <c:formatCode>0.0</c:formatCode>
                <c:ptCount val="5"/>
                <c:pt idx="0">
                  <c:v>1500</c:v>
                </c:pt>
                <c:pt idx="1">
                  <c:v>1950</c:v>
                </c:pt>
                <c:pt idx="2">
                  <c:v>2550</c:v>
                </c:pt>
                <c:pt idx="3">
                  <c:v>2550</c:v>
                </c:pt>
                <c:pt idx="4">
                  <c:v>1500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C92-4393-B650-25FE76FCF464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xVal>
            <c:numRef>
              <c:f>Definitions!$D$8:$D$9</c:f>
              <c:numCache>
                <c:formatCode>0.0</c:formatCode>
                <c:ptCount val="2"/>
                <c:pt idx="0">
                  <c:v>58.472550000000005</c:v>
                </c:pt>
                <c:pt idx="1">
                  <c:v>58.472550000000005</c:v>
                </c:pt>
              </c:numCache>
            </c:numRef>
          </c:xVal>
          <c:yVal>
            <c:numRef>
              <c:f>Definitions!$B$8:$B$9</c:f>
              <c:numCache>
                <c:formatCode>0.0</c:formatCode>
                <c:ptCount val="2"/>
                <c:pt idx="0">
                  <c:v>1521.5</c:v>
                </c:pt>
                <c:pt idx="1">
                  <c:v>1521.5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C92-4393-B650-25FE76FCF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8431080"/>
        <c:axId val="1"/>
      </c:scatterChart>
      <c:valAx>
        <c:axId val="378431080"/>
        <c:scaling>
          <c:orientation val="minMax"/>
          <c:min val="45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LOADED AIRPLANE MOMNET/1000 LBS-IN</a:t>
                </a:r>
              </a:p>
            </c:rich>
          </c:tx>
          <c:layout>
            <c:manualLayout>
              <c:xMode val="edge"/>
              <c:yMode val="edge"/>
              <c:x val="0.32963802814851473"/>
              <c:y val="0.910742908473339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CH"/>
          </a:p>
        </c:txPr>
        <c:crossAx val="1"/>
        <c:crosses val="autoZero"/>
        <c:crossBetween val="midCat"/>
        <c:majorUnit val="5"/>
        <c:minorUnit val="1"/>
      </c:valAx>
      <c:valAx>
        <c:axId val="1"/>
        <c:scaling>
          <c:orientation val="minMax"/>
          <c:max val="2650"/>
          <c:min val="14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LOADED AIRPLANE WEIGHT LBS</a:t>
                </a:r>
              </a:p>
            </c:rich>
          </c:tx>
          <c:layout>
            <c:manualLayout>
              <c:xMode val="edge"/>
              <c:yMode val="edge"/>
              <c:x val="2.8085639017858443E-2"/>
              <c:y val="0.26723679593526745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CH"/>
          </a:p>
        </c:txPr>
        <c:crossAx val="378431080"/>
        <c:crosses val="autoZero"/>
        <c:crossBetween val="midCat"/>
        <c:majorUnit val="100"/>
        <c:minorUnit val="2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CH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trlProps/ctrlProp1.xml><?xml version="1.0" encoding="utf-8"?>
<formControlPr xmlns="http://schemas.microsoft.com/office/spreadsheetml/2009/9/main" objectType="Scroll" dx="22" fmlaLink="$C$4" horiz="1" max="300" noThreeD="1" page="10" val="0"/>
</file>

<file path=xl/ctrlProps/ctrlProp10.xml><?xml version="1.0" encoding="utf-8"?>
<formControlPr xmlns="http://schemas.microsoft.com/office/spreadsheetml/2009/9/main" objectType="Scroll" dx="22" fmlaLink="$D$25" horiz="1" max="50" noThreeD="1" page="10" val="15"/>
</file>

<file path=xl/ctrlProps/ctrlProp2.xml><?xml version="1.0" encoding="utf-8"?>
<formControlPr xmlns="http://schemas.microsoft.com/office/spreadsheetml/2009/9/main" objectType="Scroll" dx="22" fmlaLink="$C$5" horiz="1" max="600" noThreeD="1" page="10" val="0"/>
</file>

<file path=xl/ctrlProps/ctrlProp3.xml><?xml version="1.0" encoding="utf-8"?>
<formControlPr xmlns="http://schemas.microsoft.com/office/spreadsheetml/2009/9/main" objectType="Scroll" dx="22" fmlaLink="$C$6" horiz="1" max="600" noThreeD="1" page="10" val="0"/>
</file>

<file path=xl/ctrlProps/ctrlProp4.xml><?xml version="1.0" encoding="utf-8"?>
<formControlPr xmlns="http://schemas.microsoft.com/office/spreadsheetml/2009/9/main" objectType="Scroll" dx="22" fmlaLink="$C$7" horiz="1" max="120" noThreeD="1" page="10" val="0"/>
</file>

<file path=xl/ctrlProps/ctrlProp5.xml><?xml version="1.0" encoding="utf-8"?>
<formControlPr xmlns="http://schemas.microsoft.com/office/spreadsheetml/2009/9/main" objectType="Scroll" dx="22" fmlaLink="$C$8" horiz="1" max="80" noThreeD="1" page="10" val="0"/>
</file>

<file path=xl/ctrlProps/ctrlProp6.xml><?xml version="1.0" encoding="utf-8"?>
<formControlPr xmlns="http://schemas.microsoft.com/office/spreadsheetml/2009/9/main" objectType="Scroll" dx="22" fmlaLink="$C$21" horiz="1" max="8000" noThreeD="1" page="10" val="2146"/>
</file>

<file path=xl/ctrlProps/ctrlProp7.xml><?xml version="1.0" encoding="utf-8"?>
<formControlPr xmlns="http://schemas.microsoft.com/office/spreadsheetml/2009/9/main" objectType="Scroll" dx="22" fmlaLink="$C$22" horiz="1" max="1050" min="900" noThreeD="1" page="10" val="1013"/>
</file>

<file path=xl/ctrlProps/ctrlProp8.xml><?xml version="1.0" encoding="utf-8"?>
<formControlPr xmlns="http://schemas.microsoft.com/office/spreadsheetml/2009/9/main" objectType="Scroll" dx="22" fmlaLink="$C$23" horiz="1" max="40" noThreeD="1" page="10" val="20"/>
</file>

<file path=xl/ctrlProps/ctrlProp9.xml><?xml version="1.0" encoding="utf-8"?>
<formControlPr xmlns="http://schemas.microsoft.com/office/spreadsheetml/2009/9/main" objectType="Scroll" dx="22" fmlaLink="$E$24" horiz="1" max="40" noThreeD="1" page="10" val="1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676275</xdr:colOff>
      <xdr:row>6</xdr:row>
      <xdr:rowOff>238125</xdr:rowOff>
    </xdr:from>
    <xdr:to>
      <xdr:col>1</xdr:col>
      <xdr:colOff>19050</xdr:colOff>
      <xdr:row>12</xdr:row>
      <xdr:rowOff>161925</xdr:rowOff>
    </xdr:to>
    <xdr:sp macro="" textlink="">
      <xdr:nvSpPr>
        <xdr:cNvPr id="1098" name="Line 23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>
          <a:spLocks noChangeShapeType="1"/>
        </xdr:cNvSpPr>
      </xdr:nvSpPr>
      <xdr:spPr bwMode="auto">
        <a:xfrm flipV="1">
          <a:off x="676275" y="1562100"/>
          <a:ext cx="1133475" cy="14097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FFCC00" mc:Ignorable="a14" a14:legacySpreadsheetColorIndex="51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0</xdr:row>
      <xdr:rowOff>0</xdr:rowOff>
    </xdr:from>
    <xdr:to>
      <xdr:col>14</xdr:col>
      <xdr:colOff>869949</xdr:colOff>
      <xdr:row>28</xdr:row>
      <xdr:rowOff>0</xdr:rowOff>
    </xdr:to>
    <xdr:graphicFrame macro="">
      <xdr:nvGraphicFramePr>
        <xdr:cNvPr id="1099" name="Diagramm 45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3</xdr:row>
          <xdr:rowOff>38100</xdr:rowOff>
        </xdr:from>
        <xdr:to>
          <xdr:col>1</xdr:col>
          <xdr:colOff>1549400</xdr:colOff>
          <xdr:row>3</xdr:row>
          <xdr:rowOff>215900</xdr:rowOff>
        </xdr:to>
        <xdr:sp macro="" textlink="">
          <xdr:nvSpPr>
            <xdr:cNvPr id="1101" name="Scroll Bar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4</xdr:row>
          <xdr:rowOff>25400</xdr:rowOff>
        </xdr:from>
        <xdr:to>
          <xdr:col>1</xdr:col>
          <xdr:colOff>1549400</xdr:colOff>
          <xdr:row>4</xdr:row>
          <xdr:rowOff>215900</xdr:rowOff>
        </xdr:to>
        <xdr:sp macro="" textlink="">
          <xdr:nvSpPr>
            <xdr:cNvPr id="1102" name="Scroll Bar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5</xdr:row>
          <xdr:rowOff>25400</xdr:rowOff>
        </xdr:from>
        <xdr:to>
          <xdr:col>1</xdr:col>
          <xdr:colOff>1549400</xdr:colOff>
          <xdr:row>5</xdr:row>
          <xdr:rowOff>215900</xdr:rowOff>
        </xdr:to>
        <xdr:sp macro="" textlink="">
          <xdr:nvSpPr>
            <xdr:cNvPr id="1103" name="Scroll Bar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6</xdr:row>
          <xdr:rowOff>38100</xdr:rowOff>
        </xdr:from>
        <xdr:to>
          <xdr:col>1</xdr:col>
          <xdr:colOff>1549400</xdr:colOff>
          <xdr:row>6</xdr:row>
          <xdr:rowOff>215900</xdr:rowOff>
        </xdr:to>
        <xdr:sp macro="" textlink="">
          <xdr:nvSpPr>
            <xdr:cNvPr id="1104" name="Scroll Bar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7</xdr:row>
          <xdr:rowOff>38100</xdr:rowOff>
        </xdr:from>
        <xdr:to>
          <xdr:col>1</xdr:col>
          <xdr:colOff>1549400</xdr:colOff>
          <xdr:row>7</xdr:row>
          <xdr:rowOff>215900</xdr:rowOff>
        </xdr:to>
        <xdr:sp macro="" textlink="">
          <xdr:nvSpPr>
            <xdr:cNvPr id="1105" name="Scroll Bar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0</xdr:col>
      <xdr:colOff>1460499</xdr:colOff>
      <xdr:row>8</xdr:row>
      <xdr:rowOff>126998</xdr:rowOff>
    </xdr:from>
    <xdr:to>
      <xdr:col>2</xdr:col>
      <xdr:colOff>126999</xdr:colOff>
      <xdr:row>14</xdr:row>
      <xdr:rowOff>52915</xdr:rowOff>
    </xdr:to>
    <xdr:sp macro="" textlink="">
      <xdr:nvSpPr>
        <xdr:cNvPr id="9" name="Line 23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ShapeType="1"/>
        </xdr:cNvSpPr>
      </xdr:nvSpPr>
      <xdr:spPr bwMode="auto">
        <a:xfrm flipV="1">
          <a:off x="1460499" y="1926165"/>
          <a:ext cx="2529417" cy="1195917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FFCC00" mc:Ignorable="a14" a14:legacySpreadsheetColorIndex="51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20</xdr:row>
          <xdr:rowOff>25400</xdr:rowOff>
        </xdr:from>
        <xdr:to>
          <xdr:col>1</xdr:col>
          <xdr:colOff>1562100</xdr:colOff>
          <xdr:row>20</xdr:row>
          <xdr:rowOff>203200</xdr:rowOff>
        </xdr:to>
        <xdr:sp macro="" textlink="">
          <xdr:nvSpPr>
            <xdr:cNvPr id="1116" name="Scroll Bar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21</xdr:row>
          <xdr:rowOff>25400</xdr:rowOff>
        </xdr:from>
        <xdr:to>
          <xdr:col>1</xdr:col>
          <xdr:colOff>1562100</xdr:colOff>
          <xdr:row>21</xdr:row>
          <xdr:rowOff>203200</xdr:rowOff>
        </xdr:to>
        <xdr:sp macro="" textlink="">
          <xdr:nvSpPr>
            <xdr:cNvPr id="1117" name="Scroll Bar 93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22</xdr:row>
          <xdr:rowOff>25400</xdr:rowOff>
        </xdr:from>
        <xdr:to>
          <xdr:col>1</xdr:col>
          <xdr:colOff>1562100</xdr:colOff>
          <xdr:row>22</xdr:row>
          <xdr:rowOff>215900</xdr:rowOff>
        </xdr:to>
        <xdr:sp macro="" textlink="">
          <xdr:nvSpPr>
            <xdr:cNvPr id="1118" name="Scroll Bar 94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23</xdr:row>
          <xdr:rowOff>25400</xdr:rowOff>
        </xdr:from>
        <xdr:to>
          <xdr:col>1</xdr:col>
          <xdr:colOff>1562100</xdr:colOff>
          <xdr:row>23</xdr:row>
          <xdr:rowOff>215900</xdr:rowOff>
        </xdr:to>
        <xdr:sp macro="" textlink="">
          <xdr:nvSpPr>
            <xdr:cNvPr id="1119" name="Scroll Bar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24</xdr:row>
          <xdr:rowOff>38100</xdr:rowOff>
        </xdr:from>
        <xdr:to>
          <xdr:col>1</xdr:col>
          <xdr:colOff>1562100</xdr:colOff>
          <xdr:row>24</xdr:row>
          <xdr:rowOff>215900</xdr:rowOff>
        </xdr:to>
        <xdr:sp macro="" textlink="">
          <xdr:nvSpPr>
            <xdr:cNvPr id="1120" name="Scroll Bar 96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9</xdr:row>
      <xdr:rowOff>47625</xdr:rowOff>
    </xdr:from>
    <xdr:to>
      <xdr:col>6</xdr:col>
      <xdr:colOff>352425</xdr:colOff>
      <xdr:row>31</xdr:row>
      <xdr:rowOff>47625</xdr:rowOff>
    </xdr:to>
    <xdr:graphicFrame macro="">
      <xdr:nvGraphicFramePr>
        <xdr:cNvPr id="3104" name="Diagramm 104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182S_HB-CZU_MassBalance_Performan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_Output"/>
      <sheetName val="Definitions"/>
      <sheetName val="Takeoff Distance Calculation"/>
    </sheetNames>
    <sheetDataSet>
      <sheetData sheetId="0"/>
      <sheetData sheetId="1">
        <row r="3">
          <cell r="H3">
            <v>0.45359237000000002</v>
          </cell>
        </row>
        <row r="4">
          <cell r="H4">
            <v>6.0086912054539185</v>
          </cell>
        </row>
        <row r="5">
          <cell r="H5">
            <v>2.7254964844799998</v>
          </cell>
        </row>
        <row r="6">
          <cell r="H6">
            <v>0.72</v>
          </cell>
        </row>
        <row r="7">
          <cell r="H7">
            <v>3.7854117839999999</v>
          </cell>
        </row>
        <row r="8">
          <cell r="H8">
            <v>2.5399999999999999E-2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P48"/>
  <sheetViews>
    <sheetView tabSelected="1" zoomScale="120" zoomScaleNormal="120" workbookViewId="0">
      <selection activeCell="F10" sqref="F10"/>
    </sheetView>
  </sheetViews>
  <sheetFormatPr baseColWidth="10" defaultColWidth="8.83203125" defaultRowHeight="13" x14ac:dyDescent="0.15"/>
  <cols>
    <col min="1" max="1" width="26.83203125" style="24" bestFit="1" customWidth="1"/>
    <col min="2" max="2" width="23.83203125" style="24" customWidth="1"/>
    <col min="3" max="3" width="9.1640625" style="95" customWidth="1"/>
    <col min="4" max="4" width="8.5" style="24" customWidth="1"/>
    <col min="5" max="5" width="10.6640625" style="97" customWidth="1"/>
    <col min="6" max="6" width="8.5" style="98" customWidth="1"/>
    <col min="7" max="7" width="8.5" style="99" customWidth="1"/>
    <col min="8" max="8" width="8.5" style="100" customWidth="1"/>
    <col min="9" max="11" width="11.5" style="24" customWidth="1"/>
    <col min="12" max="12" width="11.5" style="28" customWidth="1"/>
    <col min="13" max="256" width="11.5" style="24" customWidth="1"/>
    <col min="257" max="16384" width="8.83203125" style="24"/>
  </cols>
  <sheetData>
    <row r="1" spans="1:15" x14ac:dyDescent="0.15">
      <c r="A1" s="205" t="s">
        <v>41</v>
      </c>
      <c r="B1" s="207" t="s">
        <v>35</v>
      </c>
      <c r="C1" s="104" t="s">
        <v>14</v>
      </c>
      <c r="D1" s="105" t="s">
        <v>0</v>
      </c>
      <c r="E1" s="106" t="s">
        <v>1</v>
      </c>
      <c r="F1" s="19" t="s">
        <v>14</v>
      </c>
      <c r="G1" s="20" t="s">
        <v>0</v>
      </c>
      <c r="H1" s="21" t="s">
        <v>1</v>
      </c>
      <c r="I1" s="22"/>
      <c r="J1" s="22"/>
      <c r="K1" s="22"/>
      <c r="L1" s="22"/>
      <c r="M1" s="22"/>
      <c r="N1" s="22"/>
      <c r="O1" s="23"/>
    </row>
    <row r="2" spans="1:15" ht="13" customHeight="1" thickBot="1" x14ac:dyDescent="0.2">
      <c r="A2" s="206"/>
      <c r="B2" s="208"/>
      <c r="C2" s="107" t="s">
        <v>24</v>
      </c>
      <c r="D2" s="108" t="s">
        <v>25</v>
      </c>
      <c r="E2" s="109" t="s">
        <v>26</v>
      </c>
      <c r="F2" s="25" t="s">
        <v>34</v>
      </c>
      <c r="G2" s="26" t="s">
        <v>36</v>
      </c>
      <c r="H2" s="27" t="s">
        <v>37</v>
      </c>
      <c r="I2" s="28"/>
      <c r="J2" s="28"/>
      <c r="K2" s="28"/>
      <c r="M2" s="28"/>
      <c r="N2" s="28"/>
      <c r="O2" s="29"/>
    </row>
    <row r="3" spans="1:15" ht="19" customHeight="1" thickBot="1" x14ac:dyDescent="0.2">
      <c r="A3" s="30" t="s">
        <v>6</v>
      </c>
      <c r="B3" s="31" t="s">
        <v>42</v>
      </c>
      <c r="C3" s="117">
        <v>1521.5</v>
      </c>
      <c r="D3" s="110">
        <f>E3/C3</f>
        <v>38.430857706210979</v>
      </c>
      <c r="E3" s="111">
        <v>58472.55</v>
      </c>
      <c r="F3" s="32">
        <f t="shared" ref="F3:F12" si="0">C3*kg_lbs</f>
        <v>690.14079095500006</v>
      </c>
      <c r="G3" s="33">
        <f t="shared" ref="G3:G9" si="1">D3*m_inch</f>
        <v>0.97614378573775884</v>
      </c>
      <c r="H3" s="34">
        <f t="shared" ref="H3:H9" si="2">F3*G3</f>
        <v>673.67664437486496</v>
      </c>
      <c r="I3" s="28"/>
      <c r="J3" s="28"/>
      <c r="K3" s="28"/>
      <c r="M3" s="28"/>
      <c r="N3" s="28"/>
      <c r="O3" s="29"/>
    </row>
    <row r="4" spans="1:15" ht="19" customHeight="1" x14ac:dyDescent="0.15">
      <c r="A4" s="35" t="s">
        <v>12</v>
      </c>
      <c r="B4" s="115"/>
      <c r="C4" s="119">
        <v>0</v>
      </c>
      <c r="D4" s="116">
        <v>48</v>
      </c>
      <c r="E4" s="112">
        <f>D4*C4</f>
        <v>0</v>
      </c>
      <c r="F4" s="36">
        <f t="shared" si="0"/>
        <v>0</v>
      </c>
      <c r="G4" s="37">
        <f t="shared" si="1"/>
        <v>1.2191999999999998</v>
      </c>
      <c r="H4" s="38">
        <f t="shared" si="2"/>
        <v>0</v>
      </c>
      <c r="I4" s="28"/>
      <c r="J4" s="28"/>
      <c r="K4" s="28"/>
      <c r="M4" s="28"/>
      <c r="N4" s="28"/>
      <c r="O4" s="29"/>
    </row>
    <row r="5" spans="1:15" ht="19" customHeight="1" x14ac:dyDescent="0.15">
      <c r="A5" s="35" t="s">
        <v>27</v>
      </c>
      <c r="B5" s="115"/>
      <c r="C5" s="120">
        <v>0</v>
      </c>
      <c r="D5" s="116">
        <v>37</v>
      </c>
      <c r="E5" s="112">
        <f>D5*C5</f>
        <v>0</v>
      </c>
      <c r="F5" s="36">
        <f t="shared" si="0"/>
        <v>0</v>
      </c>
      <c r="G5" s="37">
        <f t="shared" si="1"/>
        <v>0.93979999999999997</v>
      </c>
      <c r="H5" s="38">
        <f t="shared" si="2"/>
        <v>0</v>
      </c>
      <c r="I5" s="28"/>
      <c r="J5" s="28"/>
      <c r="K5" s="28"/>
      <c r="M5" s="28"/>
      <c r="N5" s="28"/>
      <c r="O5" s="29"/>
    </row>
    <row r="6" spans="1:15" ht="19" customHeight="1" x14ac:dyDescent="0.15">
      <c r="A6" s="35" t="s">
        <v>28</v>
      </c>
      <c r="B6" s="115"/>
      <c r="C6" s="120">
        <v>0</v>
      </c>
      <c r="D6" s="116">
        <v>73</v>
      </c>
      <c r="E6" s="112">
        <f>D6*C6</f>
        <v>0</v>
      </c>
      <c r="F6" s="36">
        <f t="shared" si="0"/>
        <v>0</v>
      </c>
      <c r="G6" s="37">
        <f t="shared" si="1"/>
        <v>1.8541999999999998</v>
      </c>
      <c r="H6" s="38">
        <f t="shared" si="2"/>
        <v>0</v>
      </c>
      <c r="I6" s="28"/>
      <c r="J6" s="28"/>
      <c r="K6" s="28"/>
      <c r="M6" s="28"/>
      <c r="N6" s="28"/>
      <c r="O6" s="29"/>
    </row>
    <row r="7" spans="1:15" ht="19" customHeight="1" x14ac:dyDescent="0.15">
      <c r="A7" s="35" t="s">
        <v>32</v>
      </c>
      <c r="B7" s="115"/>
      <c r="C7" s="120">
        <v>0</v>
      </c>
      <c r="D7" s="116">
        <v>95</v>
      </c>
      <c r="E7" s="112">
        <f>D7*C7</f>
        <v>0</v>
      </c>
      <c r="F7" s="36">
        <f t="shared" si="0"/>
        <v>0</v>
      </c>
      <c r="G7" s="37">
        <f t="shared" si="1"/>
        <v>2.4129999999999998</v>
      </c>
      <c r="H7" s="38">
        <f t="shared" si="2"/>
        <v>0</v>
      </c>
      <c r="I7" s="28"/>
      <c r="J7" s="28"/>
      <c r="K7" s="28"/>
      <c r="M7" s="28"/>
      <c r="N7" s="28"/>
      <c r="O7" s="29"/>
    </row>
    <row r="8" spans="1:15" ht="19" customHeight="1" thickBot="1" x14ac:dyDescent="0.2">
      <c r="A8" s="35" t="s">
        <v>33</v>
      </c>
      <c r="B8" s="115"/>
      <c r="C8" s="121">
        <v>0</v>
      </c>
      <c r="D8" s="116">
        <v>123</v>
      </c>
      <c r="E8" s="112">
        <f>D8*C8</f>
        <v>0</v>
      </c>
      <c r="F8" s="36">
        <f t="shared" si="0"/>
        <v>0</v>
      </c>
      <c r="G8" s="37">
        <f t="shared" si="1"/>
        <v>3.1242000000000001</v>
      </c>
      <c r="H8" s="38">
        <f t="shared" si="2"/>
        <v>0</v>
      </c>
      <c r="I8" s="28"/>
      <c r="J8" s="28"/>
      <c r="K8" s="28"/>
      <c r="M8" s="28"/>
      <c r="N8" s="28"/>
      <c r="O8" s="29"/>
    </row>
    <row r="9" spans="1:15" ht="19" customHeight="1" thickBot="1" x14ac:dyDescent="0.2">
      <c r="A9" s="39" t="s">
        <v>9</v>
      </c>
      <c r="B9" s="40" t="str">
        <f>IF(C9&lt;C10,"Weight iniside Limit","Weight OUTSIDE Limit")</f>
        <v>Weight iniside Limit</v>
      </c>
      <c r="C9" s="118">
        <f>SUM(C3:C8)</f>
        <v>1521.5</v>
      </c>
      <c r="D9" s="113">
        <f>E9/C9</f>
        <v>38.430857706210979</v>
      </c>
      <c r="E9" s="114">
        <f>SUM(E3:E8)</f>
        <v>58472.55</v>
      </c>
      <c r="F9" s="41">
        <f t="shared" si="0"/>
        <v>690.14079095500006</v>
      </c>
      <c r="G9" s="42">
        <f t="shared" si="1"/>
        <v>0.97614378573775884</v>
      </c>
      <c r="H9" s="43">
        <f t="shared" si="2"/>
        <v>673.67664437486496</v>
      </c>
      <c r="I9" s="28"/>
      <c r="J9" s="28"/>
      <c r="K9" s="28"/>
      <c r="M9" s="28"/>
      <c r="N9" s="28"/>
      <c r="O9" s="29"/>
    </row>
    <row r="10" spans="1:15" ht="19" customHeight="1" thickBot="1" x14ac:dyDescent="0.2">
      <c r="A10" s="44"/>
      <c r="B10" s="45" t="s">
        <v>49</v>
      </c>
      <c r="C10" s="46">
        <v>2550</v>
      </c>
      <c r="D10" s="47" t="s">
        <v>24</v>
      </c>
      <c r="E10" s="48"/>
      <c r="F10" s="201">
        <f t="shared" si="0"/>
        <v>1156.6605435000001</v>
      </c>
      <c r="G10" s="49" t="s">
        <v>34</v>
      </c>
      <c r="H10" s="50"/>
      <c r="I10" s="28"/>
      <c r="J10" s="28"/>
      <c r="K10" s="28"/>
      <c r="M10" s="28"/>
      <c r="N10" s="28"/>
      <c r="O10" s="29"/>
    </row>
    <row r="11" spans="1:15" ht="19" customHeight="1" x14ac:dyDescent="0.15">
      <c r="A11" s="51"/>
      <c r="B11" s="52" t="s">
        <v>43</v>
      </c>
      <c r="C11" s="53">
        <f>C3+C5+C6+C7+C8</f>
        <v>1521.5</v>
      </c>
      <c r="D11" s="54" t="s">
        <v>24</v>
      </c>
      <c r="E11" s="55"/>
      <c r="F11" s="56">
        <f t="shared" si="0"/>
        <v>690.14079095500006</v>
      </c>
      <c r="G11" s="57" t="s">
        <v>34</v>
      </c>
      <c r="H11" s="58"/>
      <c r="I11" s="28"/>
      <c r="J11" s="28"/>
      <c r="K11" s="28"/>
      <c r="M11" s="28"/>
      <c r="N11" s="28"/>
      <c r="O11" s="29"/>
    </row>
    <row r="12" spans="1:15" ht="19" customHeight="1" thickBot="1" x14ac:dyDescent="0.2">
      <c r="A12" s="51"/>
      <c r="B12" s="59" t="s">
        <v>48</v>
      </c>
      <c r="C12" s="60">
        <f>SUM(C5:C8)</f>
        <v>0</v>
      </c>
      <c r="D12" s="61" t="s">
        <v>24</v>
      </c>
      <c r="E12" s="55"/>
      <c r="F12" s="62">
        <f t="shared" si="0"/>
        <v>0</v>
      </c>
      <c r="G12" s="63" t="s">
        <v>34</v>
      </c>
      <c r="H12" s="58"/>
      <c r="I12" s="28"/>
      <c r="J12" s="28"/>
      <c r="K12" s="28"/>
      <c r="M12" s="28"/>
      <c r="N12" s="28"/>
      <c r="O12" s="29"/>
    </row>
    <row r="13" spans="1:15" ht="13" customHeight="1" x14ac:dyDescent="0.15">
      <c r="A13" s="64"/>
      <c r="B13" s="211" t="s">
        <v>38</v>
      </c>
      <c r="C13" s="212"/>
      <c r="D13" s="65"/>
      <c r="E13" s="66"/>
      <c r="F13" s="67"/>
      <c r="G13" s="68"/>
      <c r="H13" s="69"/>
      <c r="I13" s="28"/>
      <c r="J13" s="28"/>
      <c r="K13" s="28"/>
      <c r="M13" s="28"/>
      <c r="N13" s="28"/>
      <c r="O13" s="29"/>
    </row>
    <row r="14" spans="1:15" ht="13" customHeight="1" x14ac:dyDescent="0.15">
      <c r="A14" s="70" t="s">
        <v>22</v>
      </c>
      <c r="B14" s="209" t="s">
        <v>39</v>
      </c>
      <c r="C14" s="210"/>
      <c r="D14" s="71"/>
      <c r="E14" s="66"/>
      <c r="F14" s="67"/>
      <c r="G14" s="68"/>
      <c r="H14" s="69"/>
      <c r="I14" s="28"/>
      <c r="J14" s="28"/>
      <c r="K14" s="28"/>
      <c r="M14" s="28"/>
      <c r="N14" s="28"/>
      <c r="O14" s="29"/>
    </row>
    <row r="15" spans="1:15" ht="13" customHeight="1" thickBot="1" x14ac:dyDescent="0.2">
      <c r="A15" s="72" t="s">
        <v>31</v>
      </c>
      <c r="B15" s="213" t="s">
        <v>40</v>
      </c>
      <c r="C15" s="214"/>
      <c r="D15" s="73"/>
      <c r="E15" s="74"/>
      <c r="F15" s="67"/>
      <c r="G15" s="68"/>
      <c r="H15" s="69"/>
      <c r="I15" s="28"/>
      <c r="J15" s="28"/>
      <c r="K15" s="28"/>
      <c r="M15" s="28"/>
      <c r="N15" s="28"/>
      <c r="O15" s="29"/>
    </row>
    <row r="16" spans="1:15" ht="13" customHeight="1" x14ac:dyDescent="0.15">
      <c r="A16" s="64"/>
      <c r="B16" s="75" t="s">
        <v>12</v>
      </c>
      <c r="C16" s="76" t="s">
        <v>24</v>
      </c>
      <c r="D16" s="76" t="s">
        <v>30</v>
      </c>
      <c r="E16" s="77" t="s">
        <v>13</v>
      </c>
      <c r="F16" s="78" t="s">
        <v>34</v>
      </c>
      <c r="G16" s="68"/>
      <c r="H16" s="69"/>
      <c r="I16" s="28"/>
      <c r="J16" s="28"/>
      <c r="K16" s="28"/>
      <c r="M16" s="28"/>
      <c r="N16" s="28"/>
      <c r="O16" s="29"/>
    </row>
    <row r="17" spans="1:16" ht="13" customHeight="1" x14ac:dyDescent="0.15">
      <c r="A17" s="64"/>
      <c r="B17" s="79" t="s">
        <v>44</v>
      </c>
      <c r="C17" s="80">
        <f>D17*lbs_gal</f>
        <v>300.43456027269593</v>
      </c>
      <c r="D17" s="81">
        <v>50</v>
      </c>
      <c r="E17" s="82">
        <f>D17*liter_gal</f>
        <v>189.27058919999999</v>
      </c>
      <c r="F17" s="83">
        <f>D17*kg_gal</f>
        <v>136.27482422399999</v>
      </c>
      <c r="G17" s="68"/>
      <c r="H17" s="69"/>
      <c r="I17" s="28"/>
      <c r="J17" s="28"/>
      <c r="K17" s="28"/>
      <c r="M17" s="28"/>
      <c r="N17" s="28"/>
      <c r="O17" s="29"/>
    </row>
    <row r="18" spans="1:16" ht="13" customHeight="1" thickBot="1" x14ac:dyDescent="0.2">
      <c r="A18" s="64"/>
      <c r="B18" s="84" t="s">
        <v>45</v>
      </c>
      <c r="C18" s="85">
        <f>C4</f>
        <v>0</v>
      </c>
      <c r="D18" s="85">
        <f>C4/lbs_gal</f>
        <v>0</v>
      </c>
      <c r="E18" s="86">
        <f>(+C4)*kg_lbs/liter_kg</f>
        <v>0</v>
      </c>
      <c r="F18" s="87">
        <f>C4*kg_lbs</f>
        <v>0</v>
      </c>
      <c r="G18" s="68"/>
      <c r="H18" s="69"/>
      <c r="I18" s="28"/>
      <c r="J18" s="28"/>
      <c r="K18" s="28"/>
      <c r="M18" s="28"/>
      <c r="N18" s="28"/>
      <c r="O18" s="29"/>
    </row>
    <row r="19" spans="1:16" ht="13" customHeight="1" x14ac:dyDescent="0.15">
      <c r="A19" s="88"/>
      <c r="B19" s="28"/>
      <c r="C19" s="89"/>
      <c r="D19" s="28"/>
      <c r="E19" s="90"/>
      <c r="F19" s="67"/>
      <c r="G19" s="68"/>
      <c r="H19" s="69"/>
      <c r="I19" s="28"/>
      <c r="J19" s="28"/>
      <c r="K19" s="28"/>
      <c r="M19" s="28"/>
      <c r="N19" s="28"/>
      <c r="O19" s="29"/>
    </row>
    <row r="20" spans="1:16" ht="18" customHeight="1" thickBot="1" x14ac:dyDescent="0.2">
      <c r="A20" s="223" t="s">
        <v>85</v>
      </c>
      <c r="B20" s="224"/>
      <c r="C20" s="183"/>
      <c r="D20" s="184"/>
      <c r="E20" s="185"/>
      <c r="F20" s="175"/>
      <c r="G20"/>
      <c r="H20"/>
      <c r="I20"/>
      <c r="J20"/>
      <c r="K20"/>
      <c r="L20"/>
      <c r="M20"/>
      <c r="N20"/>
      <c r="O20"/>
      <c r="P20" s="176"/>
    </row>
    <row r="21" spans="1:16" ht="18" customHeight="1" x14ac:dyDescent="0.15">
      <c r="A21" s="186" t="s">
        <v>54</v>
      </c>
      <c r="B21" s="187"/>
      <c r="C21" s="188">
        <v>2146</v>
      </c>
      <c r="D21" s="184" t="str">
        <f>IF(C21=2146, "(LSZO)", "")</f>
        <v>(LSZO)</v>
      </c>
      <c r="E21" s="185"/>
      <c r="F21" s="215" t="s">
        <v>82</v>
      </c>
      <c r="G21" s="216"/>
      <c r="H21"/>
      <c r="I21"/>
      <c r="J21"/>
      <c r="K21"/>
      <c r="L21"/>
      <c r="M21"/>
      <c r="N21"/>
      <c r="O21"/>
      <c r="P21" s="176"/>
    </row>
    <row r="22" spans="1:16" ht="18" customHeight="1" x14ac:dyDescent="0.15">
      <c r="A22" s="186" t="s">
        <v>55</v>
      </c>
      <c r="B22" s="189"/>
      <c r="C22" s="190">
        <v>1013</v>
      </c>
      <c r="D22" s="177">
        <f>'Takeoff Distance Calculation'!C17</f>
        <v>2152.75</v>
      </c>
      <c r="E22" s="185"/>
      <c r="F22" s="217"/>
      <c r="G22" s="218"/>
      <c r="H22"/>
      <c r="I22"/>
      <c r="J22"/>
      <c r="K22"/>
      <c r="L22"/>
      <c r="M22"/>
      <c r="N22"/>
      <c r="O22"/>
      <c r="P22" s="176"/>
    </row>
    <row r="23" spans="1:16" ht="18" customHeight="1" thickBot="1" x14ac:dyDescent="0.2">
      <c r="A23" s="186" t="s">
        <v>56</v>
      </c>
      <c r="B23" s="182"/>
      <c r="C23" s="191">
        <v>20</v>
      </c>
      <c r="D23" s="184"/>
      <c r="E23" s="185"/>
      <c r="F23" s="217"/>
      <c r="G23" s="218"/>
      <c r="H23"/>
      <c r="I23"/>
      <c r="J23"/>
      <c r="K23"/>
      <c r="L23"/>
      <c r="M23"/>
      <c r="N23"/>
      <c r="O23"/>
      <c r="P23" s="176"/>
    </row>
    <row r="24" spans="1:16" ht="18" customHeight="1" x14ac:dyDescent="0.15">
      <c r="A24" s="186" t="s">
        <v>57</v>
      </c>
      <c r="B24" s="182"/>
      <c r="C24" s="192">
        <f>E24-10</f>
        <v>0</v>
      </c>
      <c r="D24" s="178" t="str">
        <f>'Takeoff Distance Calculation'!C19</f>
        <v>(Calm)</v>
      </c>
      <c r="E24" s="193">
        <v>10</v>
      </c>
      <c r="F24" s="217"/>
      <c r="G24" s="218"/>
      <c r="H24"/>
      <c r="I24"/>
      <c r="J24"/>
      <c r="K24"/>
      <c r="L24"/>
      <c r="M24"/>
      <c r="N24"/>
      <c r="O24"/>
      <c r="P24" s="176"/>
    </row>
    <row r="25" spans="1:16" ht="18" customHeight="1" x14ac:dyDescent="0.15">
      <c r="A25" s="186" t="s">
        <v>58</v>
      </c>
      <c r="B25" s="194"/>
      <c r="C25" s="194">
        <f>D25/100</f>
        <v>0.15</v>
      </c>
      <c r="D25" s="195">
        <v>15</v>
      </c>
      <c r="E25" s="179"/>
      <c r="F25" s="217"/>
      <c r="G25" s="218"/>
      <c r="H25"/>
      <c r="I25"/>
      <c r="J25"/>
      <c r="K25"/>
      <c r="L25"/>
      <c r="M25"/>
      <c r="N25"/>
      <c r="O25"/>
      <c r="P25" s="176"/>
    </row>
    <row r="26" spans="1:16" ht="18" customHeight="1" thickBot="1" x14ac:dyDescent="0.25">
      <c r="A26" s="196"/>
      <c r="B26" s="197"/>
      <c r="C26" s="221"/>
      <c r="D26" s="221"/>
      <c r="E26" s="198"/>
      <c r="F26" s="217"/>
      <c r="G26" s="218"/>
      <c r="H26"/>
      <c r="I26"/>
      <c r="J26"/>
      <c r="K26"/>
      <c r="L26"/>
      <c r="M26"/>
      <c r="N26"/>
      <c r="O26"/>
      <c r="P26" s="176"/>
    </row>
    <row r="27" spans="1:16" ht="18" customHeight="1" thickBot="1" x14ac:dyDescent="0.2">
      <c r="A27" s="199" t="s">
        <v>83</v>
      </c>
      <c r="B27" s="180"/>
      <c r="C27" s="222">
        <f>IFERROR('Takeoff Distance Calculation'!C52, "Outside Limits")</f>
        <v>846.92468749999989</v>
      </c>
      <c r="D27" s="222"/>
      <c r="E27" s="181">
        <f>IF(ISNUMBER(C27), 'Takeoff Distance Calculation'!D52, "")</f>
        <v>258.31202968749994</v>
      </c>
      <c r="F27" s="219"/>
      <c r="G27" s="220"/>
      <c r="H27"/>
      <c r="I27"/>
      <c r="J27"/>
      <c r="K27"/>
      <c r="L27"/>
      <c r="M27"/>
      <c r="N27"/>
      <c r="O27"/>
      <c r="P27" s="176"/>
    </row>
    <row r="28" spans="1:16" ht="18" customHeight="1" thickBot="1" x14ac:dyDescent="0.2">
      <c r="A28" s="88"/>
      <c r="B28" s="28"/>
      <c r="C28" s="89"/>
      <c r="D28" s="91"/>
      <c r="E28" s="90"/>
      <c r="F28" s="92"/>
      <c r="G28" s="68"/>
      <c r="H28" s="69"/>
      <c r="I28" s="28"/>
      <c r="J28" s="28"/>
      <c r="K28" s="28"/>
      <c r="M28" s="28"/>
      <c r="N28" s="28"/>
      <c r="O28" s="29"/>
    </row>
    <row r="29" spans="1:16" ht="18" customHeight="1" thickBot="1" x14ac:dyDescent="0.2">
      <c r="A29" s="93" t="s">
        <v>84</v>
      </c>
      <c r="B29" s="202" t="s">
        <v>46</v>
      </c>
      <c r="C29" s="202"/>
      <c r="D29" s="202"/>
      <c r="E29" s="202"/>
      <c r="F29" s="202"/>
      <c r="G29" s="94"/>
      <c r="H29" s="94"/>
      <c r="I29" s="203" t="s">
        <v>47</v>
      </c>
      <c r="J29" s="203"/>
      <c r="K29" s="203"/>
      <c r="L29" s="203"/>
      <c r="M29" s="203"/>
      <c r="N29" s="203"/>
      <c r="O29" s="204"/>
    </row>
    <row r="30" spans="1:16" ht="18" customHeight="1" x14ac:dyDescent="0.15">
      <c r="D30" s="96"/>
    </row>
    <row r="31" spans="1:16" ht="18" customHeight="1" x14ac:dyDescent="0.15">
      <c r="D31" s="96"/>
      <c r="G31" s="101"/>
    </row>
    <row r="32" spans="1:16" x14ac:dyDescent="0.15">
      <c r="D32" s="96"/>
      <c r="K32" s="102"/>
    </row>
    <row r="33" spans="1:10" x14ac:dyDescent="0.15">
      <c r="D33" s="96"/>
    </row>
    <row r="34" spans="1:10" x14ac:dyDescent="0.15">
      <c r="B34" s="95"/>
      <c r="D34" s="91"/>
    </row>
    <row r="35" spans="1:10" x14ac:dyDescent="0.15">
      <c r="B35" s="103"/>
      <c r="D35" s="96"/>
      <c r="J35" s="91"/>
    </row>
    <row r="36" spans="1:10" x14ac:dyDescent="0.15">
      <c r="J36" s="91"/>
    </row>
    <row r="37" spans="1:10" x14ac:dyDescent="0.15">
      <c r="A37" s="95"/>
      <c r="D37" s="96"/>
      <c r="J37" s="91"/>
    </row>
    <row r="38" spans="1:10" x14ac:dyDescent="0.15">
      <c r="A38" s="103"/>
      <c r="D38" s="91"/>
      <c r="J38" s="91"/>
    </row>
    <row r="39" spans="1:10" x14ac:dyDescent="0.15">
      <c r="D39" s="95"/>
      <c r="J39" s="91"/>
    </row>
    <row r="40" spans="1:10" x14ac:dyDescent="0.15">
      <c r="J40" s="91"/>
    </row>
    <row r="41" spans="1:10" x14ac:dyDescent="0.15">
      <c r="D41" s="95"/>
      <c r="J41" s="91"/>
    </row>
    <row r="42" spans="1:10" x14ac:dyDescent="0.15">
      <c r="D42" s="95"/>
      <c r="J42" s="91"/>
    </row>
    <row r="43" spans="1:10" x14ac:dyDescent="0.15">
      <c r="D43" s="95"/>
    </row>
    <row r="44" spans="1:10" x14ac:dyDescent="0.15">
      <c r="D44" s="95"/>
    </row>
    <row r="45" spans="1:10" x14ac:dyDescent="0.15">
      <c r="D45" s="95"/>
    </row>
    <row r="46" spans="1:10" x14ac:dyDescent="0.15">
      <c r="D46" s="95"/>
    </row>
    <row r="47" spans="1:10" x14ac:dyDescent="0.15">
      <c r="D47" s="95"/>
    </row>
    <row r="48" spans="1:10" x14ac:dyDescent="0.15">
      <c r="D48" s="95"/>
      <c r="I48" s="95"/>
      <c r="J48" s="95"/>
    </row>
  </sheetData>
  <sheetProtection algorithmName="SHA-512" hashValue="8uYmoAHaVdwENUO1XEImENYmX0Zx9UW6JEEgW2LkoE7jVvuGP/lH3haW8RIiAEiPcgKY6bgSN2OZyF05cnWBaw==" saltValue="IaSe4LTtVjQ7UXKHnt9WAQ==" spinCount="100000" sheet="1" objects="1" scenarios="1"/>
  <mergeCells count="11">
    <mergeCell ref="B29:F29"/>
    <mergeCell ref="I29:O29"/>
    <mergeCell ref="A1:A2"/>
    <mergeCell ref="B1:B2"/>
    <mergeCell ref="B14:C14"/>
    <mergeCell ref="B13:C13"/>
    <mergeCell ref="B15:C15"/>
    <mergeCell ref="F21:G27"/>
    <mergeCell ref="C26:D26"/>
    <mergeCell ref="C27:D27"/>
    <mergeCell ref="A20:B20"/>
  </mergeCells>
  <phoneticPr fontId="0" type="noConversion"/>
  <conditionalFormatting sqref="B9">
    <cfRule type="cellIs" dxfId="1" priority="1" stopIfTrue="1" operator="equal">
      <formula>"Weight iniside Limit"</formula>
    </cfRule>
    <cfRule type="cellIs" dxfId="0" priority="2" stopIfTrue="1" operator="equal">
      <formula>"Weight OUTSIDE Limit"</formula>
    </cfRule>
  </conditionalFormatting>
  <pageMargins left="0.59055118110236227" right="0.47244094488188981" top="1.9685039370078741" bottom="1.9685039370078741" header="0" footer="0"/>
  <pageSetup paperSize="9" scale="68" orientation="landscape" r:id="rId1"/>
  <headerFooter alignWithMargins="0">
    <oddHeader>&amp;C&amp;D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01" r:id="rId4" name="Scroll Bar 77">
              <controlPr defaultSize="0" autoPict="0">
                <anchor moveWithCells="1">
                  <from>
                    <xdr:col>1</xdr:col>
                    <xdr:colOff>38100</xdr:colOff>
                    <xdr:row>3</xdr:row>
                    <xdr:rowOff>38100</xdr:rowOff>
                  </from>
                  <to>
                    <xdr:col>1</xdr:col>
                    <xdr:colOff>1549400</xdr:colOff>
                    <xdr:row>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5" name="Scroll Bar 78">
              <controlPr defaultSize="0" autoPict="0">
                <anchor moveWithCells="1">
                  <from>
                    <xdr:col>1</xdr:col>
                    <xdr:colOff>38100</xdr:colOff>
                    <xdr:row>4</xdr:row>
                    <xdr:rowOff>25400</xdr:rowOff>
                  </from>
                  <to>
                    <xdr:col>1</xdr:col>
                    <xdr:colOff>1549400</xdr:colOff>
                    <xdr:row>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" name="Scroll Bar 79">
              <controlPr defaultSize="0" autoPict="0">
                <anchor moveWithCells="1">
                  <from>
                    <xdr:col>1</xdr:col>
                    <xdr:colOff>38100</xdr:colOff>
                    <xdr:row>5</xdr:row>
                    <xdr:rowOff>25400</xdr:rowOff>
                  </from>
                  <to>
                    <xdr:col>1</xdr:col>
                    <xdr:colOff>1549400</xdr:colOff>
                    <xdr:row>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7" name="Scroll Bar 80">
              <controlPr defaultSize="0" autoPict="0">
                <anchor moveWithCells="1">
                  <from>
                    <xdr:col>1</xdr:col>
                    <xdr:colOff>38100</xdr:colOff>
                    <xdr:row>6</xdr:row>
                    <xdr:rowOff>38100</xdr:rowOff>
                  </from>
                  <to>
                    <xdr:col>1</xdr:col>
                    <xdr:colOff>1549400</xdr:colOff>
                    <xdr:row>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8" name="Scroll Bar 81">
              <controlPr defaultSize="0" autoPict="0">
                <anchor moveWithCells="1">
                  <from>
                    <xdr:col>1</xdr:col>
                    <xdr:colOff>38100</xdr:colOff>
                    <xdr:row>7</xdr:row>
                    <xdr:rowOff>38100</xdr:rowOff>
                  </from>
                  <to>
                    <xdr:col>1</xdr:col>
                    <xdr:colOff>1549400</xdr:colOff>
                    <xdr:row>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9" name="Scroll Bar 92">
              <controlPr locked="0" defaultSize="0" autoPict="0">
                <anchor moveWithCells="1">
                  <from>
                    <xdr:col>1</xdr:col>
                    <xdr:colOff>38100</xdr:colOff>
                    <xdr:row>20</xdr:row>
                    <xdr:rowOff>25400</xdr:rowOff>
                  </from>
                  <to>
                    <xdr:col>1</xdr:col>
                    <xdr:colOff>1562100</xdr:colOff>
                    <xdr:row>20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10" name="Scroll Bar 93">
              <controlPr locked="0" defaultSize="0" autoPict="0">
                <anchor moveWithCells="1">
                  <from>
                    <xdr:col>1</xdr:col>
                    <xdr:colOff>38100</xdr:colOff>
                    <xdr:row>21</xdr:row>
                    <xdr:rowOff>25400</xdr:rowOff>
                  </from>
                  <to>
                    <xdr:col>1</xdr:col>
                    <xdr:colOff>1562100</xdr:colOff>
                    <xdr:row>21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11" name="Scroll Bar 94">
              <controlPr locked="0" defaultSize="0" autoPict="0">
                <anchor moveWithCells="1">
                  <from>
                    <xdr:col>1</xdr:col>
                    <xdr:colOff>38100</xdr:colOff>
                    <xdr:row>22</xdr:row>
                    <xdr:rowOff>25400</xdr:rowOff>
                  </from>
                  <to>
                    <xdr:col>1</xdr:col>
                    <xdr:colOff>1562100</xdr:colOff>
                    <xdr:row>22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12" name="Scroll Bar 95">
              <controlPr locked="0" defaultSize="0" autoPict="0">
                <anchor moveWithCells="1">
                  <from>
                    <xdr:col>1</xdr:col>
                    <xdr:colOff>38100</xdr:colOff>
                    <xdr:row>23</xdr:row>
                    <xdr:rowOff>25400</xdr:rowOff>
                  </from>
                  <to>
                    <xdr:col>1</xdr:col>
                    <xdr:colOff>1562100</xdr:colOff>
                    <xdr:row>23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13" name="Scroll Bar 96">
              <controlPr locked="0" defaultSize="0" autoPict="0">
                <anchor moveWithCells="1">
                  <from>
                    <xdr:col>1</xdr:col>
                    <xdr:colOff>38100</xdr:colOff>
                    <xdr:row>24</xdr:row>
                    <xdr:rowOff>38100</xdr:rowOff>
                  </from>
                  <to>
                    <xdr:col>1</xdr:col>
                    <xdr:colOff>1562100</xdr:colOff>
                    <xdr:row>24</xdr:row>
                    <xdr:rowOff>215900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H25"/>
  <sheetViews>
    <sheetView workbookViewId="0"/>
  </sheetViews>
  <sheetFormatPr baseColWidth="10" defaultColWidth="8.83203125" defaultRowHeight="13" x14ac:dyDescent="0.15"/>
  <cols>
    <col min="1" max="1" width="15.5" customWidth="1"/>
    <col min="2" max="256" width="11.5" customWidth="1"/>
  </cols>
  <sheetData>
    <row r="1" spans="1:8" s="1" customFormat="1" ht="17" thickBot="1" x14ac:dyDescent="0.25">
      <c r="A1" s="1" t="s">
        <v>15</v>
      </c>
    </row>
    <row r="2" spans="1:8" ht="17" thickBot="1" x14ac:dyDescent="0.25">
      <c r="A2" s="7"/>
      <c r="B2" s="8" t="s">
        <v>11</v>
      </c>
      <c r="C2" s="9" t="s">
        <v>0</v>
      </c>
      <c r="D2" s="8" t="s">
        <v>10</v>
      </c>
      <c r="G2" s="1" t="s">
        <v>16</v>
      </c>
    </row>
    <row r="3" spans="1:8" x14ac:dyDescent="0.15">
      <c r="A3" s="10" t="s">
        <v>2</v>
      </c>
      <c r="B3" s="5">
        <v>1500</v>
      </c>
      <c r="C3" s="17">
        <v>35</v>
      </c>
      <c r="D3" s="5">
        <f>(B3*C3)/1000</f>
        <v>52.5</v>
      </c>
      <c r="G3" s="2" t="s">
        <v>17</v>
      </c>
      <c r="H3" s="13">
        <v>0.45359237000000002</v>
      </c>
    </row>
    <row r="4" spans="1:8" x14ac:dyDescent="0.15">
      <c r="A4" s="10" t="s">
        <v>29</v>
      </c>
      <c r="B4" s="5">
        <v>1950</v>
      </c>
      <c r="C4" s="17">
        <v>35</v>
      </c>
      <c r="D4" s="5">
        <f>(B4*C4)/1000</f>
        <v>68.25</v>
      </c>
      <c r="G4" s="3" t="s">
        <v>19</v>
      </c>
      <c r="H4" s="14">
        <f>+H5/H3</f>
        <v>6.0086912054539185</v>
      </c>
    </row>
    <row r="5" spans="1:8" x14ac:dyDescent="0.15">
      <c r="A5" s="10" t="s">
        <v>3</v>
      </c>
      <c r="B5" s="5">
        <v>2550</v>
      </c>
      <c r="C5" s="17">
        <v>40.6</v>
      </c>
      <c r="D5" s="5">
        <f>(B5*C5)/1000</f>
        <v>103.53</v>
      </c>
      <c r="G5" s="3" t="s">
        <v>21</v>
      </c>
      <c r="H5" s="14">
        <v>2.7254964844799998</v>
      </c>
    </row>
    <row r="6" spans="1:8" x14ac:dyDescent="0.15">
      <c r="A6" s="10" t="s">
        <v>4</v>
      </c>
      <c r="B6" s="5">
        <v>2550</v>
      </c>
      <c r="C6" s="17">
        <v>47.3</v>
      </c>
      <c r="D6" s="5">
        <f>(B6*C6)/1000</f>
        <v>120.61499999999999</v>
      </c>
      <c r="G6" s="3" t="s">
        <v>23</v>
      </c>
      <c r="H6" s="14">
        <v>0.72</v>
      </c>
    </row>
    <row r="7" spans="1:8" x14ac:dyDescent="0.15">
      <c r="A7" s="10" t="s">
        <v>5</v>
      </c>
      <c r="B7" s="5">
        <v>1500</v>
      </c>
      <c r="C7" s="17">
        <v>47.3</v>
      </c>
      <c r="D7" s="5">
        <f>(B7*C7)/1000</f>
        <v>70.95</v>
      </c>
      <c r="G7" s="3" t="s">
        <v>20</v>
      </c>
      <c r="H7" s="14">
        <v>3.7854117839999999</v>
      </c>
    </row>
    <row r="8" spans="1:8" ht="14" thickBot="1" x14ac:dyDescent="0.2">
      <c r="A8" s="10" t="s">
        <v>7</v>
      </c>
      <c r="B8" s="6">
        <f>+Input_Output!C9-Input_Output!C4</f>
        <v>1521.5</v>
      </c>
      <c r="C8" s="17">
        <f>(D8/B8)*1000</f>
        <v>38.430857706210979</v>
      </c>
      <c r="D8" s="5">
        <f>(Input_Output!E9-Input_Output!E4)/1000</f>
        <v>58.472550000000005</v>
      </c>
      <c r="G8" s="4" t="s">
        <v>18</v>
      </c>
      <c r="H8" s="15">
        <v>2.5399999999999999E-2</v>
      </c>
    </row>
    <row r="9" spans="1:8" ht="14" thickBot="1" x14ac:dyDescent="0.2">
      <c r="A9" s="11" t="s">
        <v>8</v>
      </c>
      <c r="B9" s="12">
        <f>+Input_Output!C9</f>
        <v>1521.5</v>
      </c>
      <c r="C9" s="18">
        <f>Input_Output!$D$9</f>
        <v>38.430857706210979</v>
      </c>
      <c r="D9" s="5">
        <f>(B9*C9)/1000</f>
        <v>58.472550000000005</v>
      </c>
    </row>
    <row r="25" spans="2:2" x14ac:dyDescent="0.15">
      <c r="B25" s="16"/>
    </row>
  </sheetData>
  <sheetProtection algorithmName="SHA-512" hashValue="sR9C4v8KM8pXKmCTalCihH6/XT0Rn4aHes1atRsG5F56RWdlj4ymaJ8w/f3fkklKwgFkPgHOHsbldrqaslQLgA==" saltValue="spYbxGHInB+kDyVGRcRtng==" spinCount="100000" sheet="1" scenarios="1" selectLockedCells="1" selectUnlockedCells="1"/>
  <phoneticPr fontId="0" type="noConversion"/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B9BF6-F8C1-F54D-AF6F-D2F14F2A61A5}">
  <dimension ref="A1:T52"/>
  <sheetViews>
    <sheetView workbookViewId="0">
      <selection activeCell="B5" sqref="B5"/>
    </sheetView>
  </sheetViews>
  <sheetFormatPr baseColWidth="10" defaultRowHeight="16" x14ac:dyDescent="0.2"/>
  <cols>
    <col min="1" max="1" width="19.5" style="122" bestFit="1" customWidth="1"/>
    <col min="2" max="2" width="12.6640625" style="122" bestFit="1" customWidth="1"/>
    <col min="3" max="3" width="12.5" style="122" bestFit="1" customWidth="1"/>
    <col min="4" max="7" width="10.83203125" style="122"/>
    <col min="8" max="8" width="17.1640625" style="122" bestFit="1" customWidth="1"/>
    <col min="9" max="14" width="10.83203125" style="122"/>
    <col min="15" max="15" width="17.1640625" style="122" bestFit="1" customWidth="1"/>
    <col min="16" max="16384" width="10.83203125" style="122"/>
  </cols>
  <sheetData>
    <row r="1" spans="1:20" ht="21" x14ac:dyDescent="0.25">
      <c r="A1" s="225" t="s">
        <v>79</v>
      </c>
      <c r="B1" s="225"/>
      <c r="C1" s="225"/>
      <c r="D1" s="225"/>
      <c r="E1" s="225"/>
      <c r="F1" s="225"/>
      <c r="H1" s="225" t="s">
        <v>81</v>
      </c>
      <c r="I1" s="225"/>
      <c r="J1" s="225"/>
      <c r="K1" s="225"/>
      <c r="L1" s="225"/>
      <c r="M1" s="225"/>
      <c r="O1" s="226" t="s">
        <v>80</v>
      </c>
      <c r="P1" s="226"/>
      <c r="Q1" s="226"/>
      <c r="R1" s="226"/>
      <c r="S1" s="226"/>
      <c r="T1" s="226"/>
    </row>
    <row r="2" spans="1:20" ht="17" thickBot="1" x14ac:dyDescent="0.25">
      <c r="O2" s="123"/>
      <c r="P2" s="123"/>
      <c r="Q2" s="123"/>
      <c r="R2" s="123"/>
      <c r="S2" s="123"/>
      <c r="T2" s="123"/>
    </row>
    <row r="3" spans="1:20" x14ac:dyDescent="0.2">
      <c r="A3" s="124"/>
      <c r="B3" s="125">
        <v>0</v>
      </c>
      <c r="C3" s="125">
        <v>10</v>
      </c>
      <c r="D3" s="125">
        <v>20</v>
      </c>
      <c r="E3" s="125">
        <v>30</v>
      </c>
      <c r="F3" s="126">
        <v>40</v>
      </c>
      <c r="H3" s="124"/>
      <c r="I3" s="125">
        <v>0</v>
      </c>
      <c r="J3" s="125">
        <v>10</v>
      </c>
      <c r="K3" s="125">
        <v>20</v>
      </c>
      <c r="L3" s="125">
        <v>30</v>
      </c>
      <c r="M3" s="126">
        <v>40</v>
      </c>
      <c r="O3" s="127"/>
      <c r="P3" s="128">
        <v>0</v>
      </c>
      <c r="Q3" s="128">
        <v>10</v>
      </c>
      <c r="R3" s="128">
        <v>20</v>
      </c>
      <c r="S3" s="128">
        <v>30</v>
      </c>
      <c r="T3" s="129">
        <v>40</v>
      </c>
    </row>
    <row r="4" spans="1:20" ht="17" thickBot="1" x14ac:dyDescent="0.25">
      <c r="A4" s="130" t="s">
        <v>50</v>
      </c>
      <c r="B4" s="131" t="s">
        <v>51</v>
      </c>
      <c r="C4" s="131" t="s">
        <v>51</v>
      </c>
      <c r="D4" s="131" t="s">
        <v>51</v>
      </c>
      <c r="E4" s="131" t="s">
        <v>51</v>
      </c>
      <c r="F4" s="132" t="s">
        <v>51</v>
      </c>
      <c r="H4" s="130" t="s">
        <v>50</v>
      </c>
      <c r="I4" s="131" t="s">
        <v>51</v>
      </c>
      <c r="J4" s="131" t="s">
        <v>51</v>
      </c>
      <c r="K4" s="131" t="s">
        <v>51</v>
      </c>
      <c r="L4" s="131" t="s">
        <v>51</v>
      </c>
      <c r="M4" s="132" t="s">
        <v>51</v>
      </c>
      <c r="O4" s="130" t="s">
        <v>50</v>
      </c>
      <c r="P4" s="133" t="s">
        <v>51</v>
      </c>
      <c r="Q4" s="133" t="s">
        <v>51</v>
      </c>
      <c r="R4" s="133" t="s">
        <v>51</v>
      </c>
      <c r="S4" s="133" t="s">
        <v>51</v>
      </c>
      <c r="T4" s="134" t="s">
        <v>51</v>
      </c>
    </row>
    <row r="5" spans="1:20" x14ac:dyDescent="0.2">
      <c r="A5" s="135">
        <v>0</v>
      </c>
      <c r="B5" s="136">
        <v>795</v>
      </c>
      <c r="C5" s="136">
        <v>860</v>
      </c>
      <c r="D5" s="136">
        <v>925</v>
      </c>
      <c r="E5" s="136">
        <v>995</v>
      </c>
      <c r="F5" s="137">
        <v>1065</v>
      </c>
      <c r="H5" s="135">
        <v>0</v>
      </c>
      <c r="I5" s="136">
        <v>650</v>
      </c>
      <c r="J5" s="136">
        <v>700</v>
      </c>
      <c r="K5" s="136">
        <v>750</v>
      </c>
      <c r="L5" s="136">
        <v>805</v>
      </c>
      <c r="M5" s="137">
        <v>865</v>
      </c>
      <c r="O5" s="138">
        <v>0</v>
      </c>
      <c r="P5" s="139">
        <v>525</v>
      </c>
      <c r="Q5" s="139">
        <v>565</v>
      </c>
      <c r="R5" s="139">
        <v>605</v>
      </c>
      <c r="S5" s="139">
        <v>650</v>
      </c>
      <c r="T5" s="140">
        <v>695</v>
      </c>
    </row>
    <row r="6" spans="1:20" x14ac:dyDescent="0.2">
      <c r="A6" s="141">
        <v>1000</v>
      </c>
      <c r="B6" s="142">
        <v>875</v>
      </c>
      <c r="C6" s="142">
        <v>940</v>
      </c>
      <c r="D6" s="142">
        <v>1015</v>
      </c>
      <c r="E6" s="142">
        <v>1090</v>
      </c>
      <c r="F6" s="143">
        <v>1170</v>
      </c>
      <c r="H6" s="141">
        <v>1000</v>
      </c>
      <c r="I6" s="142">
        <v>710</v>
      </c>
      <c r="J6" s="142">
        <v>765</v>
      </c>
      <c r="K6" s="142">
        <v>825</v>
      </c>
      <c r="L6" s="142">
        <v>885</v>
      </c>
      <c r="M6" s="143">
        <v>950</v>
      </c>
      <c r="O6" s="138">
        <v>1000</v>
      </c>
      <c r="P6" s="139">
        <v>570</v>
      </c>
      <c r="Q6" s="139">
        <v>615</v>
      </c>
      <c r="R6" s="139">
        <v>665</v>
      </c>
      <c r="S6" s="139">
        <v>710</v>
      </c>
      <c r="T6" s="140">
        <v>765</v>
      </c>
    </row>
    <row r="7" spans="1:20" x14ac:dyDescent="0.2">
      <c r="A7" s="141">
        <v>2000</v>
      </c>
      <c r="B7" s="142">
        <v>960</v>
      </c>
      <c r="C7" s="142">
        <v>1035</v>
      </c>
      <c r="D7" s="142">
        <v>1115</v>
      </c>
      <c r="E7" s="142">
        <v>1200</v>
      </c>
      <c r="F7" s="143">
        <v>1290</v>
      </c>
      <c r="H7" s="141">
        <v>2000</v>
      </c>
      <c r="I7" s="142">
        <v>780</v>
      </c>
      <c r="J7" s="142">
        <v>840</v>
      </c>
      <c r="K7" s="142">
        <v>905</v>
      </c>
      <c r="L7" s="142">
        <v>975</v>
      </c>
      <c r="M7" s="143">
        <v>1045</v>
      </c>
      <c r="O7" s="138">
        <v>2000</v>
      </c>
      <c r="P7" s="139">
        <v>625</v>
      </c>
      <c r="Q7" s="139">
        <v>675</v>
      </c>
      <c r="R7" s="139">
        <v>725</v>
      </c>
      <c r="S7" s="139">
        <v>780</v>
      </c>
      <c r="T7" s="140">
        <v>840</v>
      </c>
    </row>
    <row r="8" spans="1:20" x14ac:dyDescent="0.2">
      <c r="A8" s="141">
        <v>3000</v>
      </c>
      <c r="B8" s="142">
        <v>1055</v>
      </c>
      <c r="C8" s="142">
        <v>1140</v>
      </c>
      <c r="D8" s="142">
        <v>1230</v>
      </c>
      <c r="E8" s="142">
        <v>1325</v>
      </c>
      <c r="F8" s="143">
        <v>1425</v>
      </c>
      <c r="H8" s="141">
        <v>3000</v>
      </c>
      <c r="I8" s="142">
        <v>855</v>
      </c>
      <c r="J8" s="142">
        <v>925</v>
      </c>
      <c r="K8" s="142">
        <v>995</v>
      </c>
      <c r="L8" s="142">
        <v>1070</v>
      </c>
      <c r="M8" s="143">
        <v>1150</v>
      </c>
      <c r="O8" s="138">
        <v>3000</v>
      </c>
      <c r="P8" s="139">
        <v>690</v>
      </c>
      <c r="Q8" s="139">
        <v>740</v>
      </c>
      <c r="R8" s="139">
        <v>800</v>
      </c>
      <c r="S8" s="139">
        <v>860</v>
      </c>
      <c r="T8" s="140">
        <v>920</v>
      </c>
    </row>
    <row r="9" spans="1:20" x14ac:dyDescent="0.2">
      <c r="A9" s="141">
        <v>4000</v>
      </c>
      <c r="B9" s="142">
        <v>1165</v>
      </c>
      <c r="C9" s="142">
        <v>1260</v>
      </c>
      <c r="D9" s="142">
        <v>1355</v>
      </c>
      <c r="E9" s="142">
        <v>1645</v>
      </c>
      <c r="F9" s="143">
        <v>1575</v>
      </c>
      <c r="H9" s="141">
        <v>4000</v>
      </c>
      <c r="I9" s="142">
        <v>945</v>
      </c>
      <c r="J9" s="142">
        <v>1020</v>
      </c>
      <c r="K9" s="142">
        <v>1100</v>
      </c>
      <c r="L9" s="142">
        <v>1180</v>
      </c>
      <c r="M9" s="143">
        <v>1270</v>
      </c>
      <c r="O9" s="138">
        <v>4000</v>
      </c>
      <c r="P9" s="139">
        <v>755</v>
      </c>
      <c r="Q9" s="139">
        <v>815</v>
      </c>
      <c r="R9" s="139">
        <v>880</v>
      </c>
      <c r="S9" s="139">
        <v>945</v>
      </c>
      <c r="T9" s="140">
        <v>1015</v>
      </c>
    </row>
    <row r="10" spans="1:20" x14ac:dyDescent="0.2">
      <c r="A10" s="141">
        <v>5000</v>
      </c>
      <c r="B10" s="142">
        <v>1285</v>
      </c>
      <c r="C10" s="142">
        <v>1390</v>
      </c>
      <c r="D10" s="142">
        <v>1500</v>
      </c>
      <c r="E10" s="142">
        <v>1620</v>
      </c>
      <c r="F10" s="143">
        <v>1745</v>
      </c>
      <c r="H10" s="141">
        <v>5000</v>
      </c>
      <c r="I10" s="142">
        <v>1040</v>
      </c>
      <c r="J10" s="142">
        <v>1125</v>
      </c>
      <c r="K10" s="142">
        <v>1210</v>
      </c>
      <c r="L10" s="142">
        <v>1305</v>
      </c>
      <c r="M10" s="143">
        <v>1405</v>
      </c>
      <c r="O10" s="138">
        <v>5000</v>
      </c>
      <c r="P10" s="139">
        <v>830</v>
      </c>
      <c r="Q10" s="139">
        <v>900</v>
      </c>
      <c r="R10" s="139">
        <v>970</v>
      </c>
      <c r="S10" s="139">
        <v>1040</v>
      </c>
      <c r="T10" s="140">
        <v>1120</v>
      </c>
    </row>
    <row r="11" spans="1:20" x14ac:dyDescent="0.2">
      <c r="A11" s="141">
        <v>6000</v>
      </c>
      <c r="B11" s="142">
        <v>1425</v>
      </c>
      <c r="C11" s="142">
        <v>1540</v>
      </c>
      <c r="D11" s="142">
        <v>1665</v>
      </c>
      <c r="E11" s="142">
        <v>1800</v>
      </c>
      <c r="F11" s="143">
        <v>1940</v>
      </c>
      <c r="H11" s="141">
        <v>6000</v>
      </c>
      <c r="I11" s="142">
        <v>1150</v>
      </c>
      <c r="J11" s="142">
        <v>1240</v>
      </c>
      <c r="K11" s="142">
        <v>1340</v>
      </c>
      <c r="L11" s="142">
        <v>1445</v>
      </c>
      <c r="M11" s="143">
        <v>1555</v>
      </c>
      <c r="O11" s="138">
        <v>6000</v>
      </c>
      <c r="P11" s="139">
        <v>920</v>
      </c>
      <c r="Q11" s="139">
        <v>990</v>
      </c>
      <c r="R11" s="139">
        <v>1070</v>
      </c>
      <c r="S11" s="139">
        <v>1150</v>
      </c>
      <c r="T11" s="140">
        <v>1235</v>
      </c>
    </row>
    <row r="12" spans="1:20" x14ac:dyDescent="0.2">
      <c r="A12" s="141">
        <v>7000</v>
      </c>
      <c r="B12" s="142">
        <v>1580</v>
      </c>
      <c r="C12" s="142">
        <v>1710</v>
      </c>
      <c r="D12" s="142">
        <v>1850</v>
      </c>
      <c r="E12" s="142">
        <v>2000</v>
      </c>
      <c r="F12" s="144" t="s">
        <v>52</v>
      </c>
      <c r="H12" s="141">
        <v>7000</v>
      </c>
      <c r="I12" s="142">
        <v>1270</v>
      </c>
      <c r="J12" s="142">
        <v>1375</v>
      </c>
      <c r="K12" s="142">
        <v>1485</v>
      </c>
      <c r="L12" s="142">
        <v>1605</v>
      </c>
      <c r="M12" s="143">
        <v>1730</v>
      </c>
      <c r="O12" s="138">
        <v>7000</v>
      </c>
      <c r="P12" s="139">
        <v>1015</v>
      </c>
      <c r="Q12" s="139">
        <v>1095</v>
      </c>
      <c r="R12" s="139">
        <v>1180</v>
      </c>
      <c r="S12" s="139">
        <v>1275</v>
      </c>
      <c r="T12" s="140">
        <v>1370</v>
      </c>
    </row>
    <row r="13" spans="1:20" ht="17" thickBot="1" x14ac:dyDescent="0.25">
      <c r="A13" s="145">
        <v>8000</v>
      </c>
      <c r="B13" s="146">
        <v>1755</v>
      </c>
      <c r="C13" s="146">
        <v>1905</v>
      </c>
      <c r="D13" s="146">
        <v>2060</v>
      </c>
      <c r="E13" s="147" t="s">
        <v>52</v>
      </c>
      <c r="F13" s="148" t="s">
        <v>52</v>
      </c>
      <c r="H13" s="145">
        <v>8000</v>
      </c>
      <c r="I13" s="146">
        <v>1410</v>
      </c>
      <c r="J13" s="146">
        <v>1525</v>
      </c>
      <c r="K13" s="146">
        <v>1650</v>
      </c>
      <c r="L13" s="146">
        <v>1785</v>
      </c>
      <c r="M13" s="149">
        <v>1925</v>
      </c>
      <c r="O13" s="150">
        <v>8000</v>
      </c>
      <c r="P13" s="151">
        <v>1125</v>
      </c>
      <c r="Q13" s="151">
        <v>1215</v>
      </c>
      <c r="R13" s="151">
        <v>1310</v>
      </c>
      <c r="S13" s="151">
        <v>1410</v>
      </c>
      <c r="T13" s="152">
        <v>1520</v>
      </c>
    </row>
    <row r="14" spans="1:20" ht="17" thickBot="1" x14ac:dyDescent="0.25"/>
    <row r="15" spans="1:20" x14ac:dyDescent="0.2">
      <c r="A15" s="153" t="s">
        <v>53</v>
      </c>
      <c r="B15" s="154"/>
      <c r="C15" s="155"/>
    </row>
    <row r="16" spans="1:20" x14ac:dyDescent="0.2">
      <c r="A16" s="156" t="s">
        <v>54</v>
      </c>
      <c r="B16" s="157">
        <f>Input_Output!C21</f>
        <v>2146</v>
      </c>
      <c r="C16" s="158"/>
    </row>
    <row r="17" spans="1:17" x14ac:dyDescent="0.2">
      <c r="A17" s="156" t="s">
        <v>55</v>
      </c>
      <c r="B17" s="159">
        <f>Input_Output!C22</f>
        <v>1013</v>
      </c>
      <c r="C17" s="160">
        <f>B16+(1013.25-B17)*27</f>
        <v>2152.75</v>
      </c>
    </row>
    <row r="18" spans="1:17" x14ac:dyDescent="0.2">
      <c r="A18" s="156" t="s">
        <v>56</v>
      </c>
      <c r="B18" s="161">
        <f>Input_Output!C23</f>
        <v>20</v>
      </c>
      <c r="C18" s="158"/>
    </row>
    <row r="19" spans="1:17" x14ac:dyDescent="0.2">
      <c r="A19" s="156" t="s">
        <v>57</v>
      </c>
      <c r="B19" s="162">
        <f>Input_Output!C24</f>
        <v>0</v>
      </c>
      <c r="C19" s="158" t="str">
        <f>IF(B19=0, "(Calm)", IF(B19&lt;0, "(Tailwind)", "(Headwind)"))</f>
        <v>(Calm)</v>
      </c>
    </row>
    <row r="20" spans="1:17" x14ac:dyDescent="0.2">
      <c r="A20" s="156" t="s">
        <v>58</v>
      </c>
      <c r="B20" s="163">
        <f>Input_Output!C25</f>
        <v>0.15</v>
      </c>
      <c r="C20" s="158"/>
    </row>
    <row r="21" spans="1:17" ht="17" thickBot="1" x14ac:dyDescent="0.25">
      <c r="A21" s="164" t="s">
        <v>59</v>
      </c>
      <c r="B21" s="165">
        <f>Input_Output!C9</f>
        <v>1521.5</v>
      </c>
      <c r="C21" s="166">
        <f>IF(B21&lt;A40,A40,B21)</f>
        <v>2000</v>
      </c>
      <c r="D21" s="200">
        <f>IF(AND((C21&gt;2400),(C21&lt;=Input_Output!C10)),2400,C21)</f>
        <v>2000</v>
      </c>
    </row>
    <row r="23" spans="1:17" x14ac:dyDescent="0.2">
      <c r="A23" s="167" t="s">
        <v>60</v>
      </c>
    </row>
    <row r="24" spans="1:17" x14ac:dyDescent="0.2">
      <c r="A24" s="122" t="s">
        <v>61</v>
      </c>
      <c r="B24" s="122">
        <f>MATCH($C17,A5:A13,1)</f>
        <v>3</v>
      </c>
      <c r="I24" s="122">
        <f>MATCH($C17,H5:H13,1)</f>
        <v>3</v>
      </c>
      <c r="P24" s="122">
        <f>MATCH($C17,O5:O13,1)</f>
        <v>3</v>
      </c>
    </row>
    <row r="25" spans="1:17" x14ac:dyDescent="0.2">
      <c r="A25" s="122" t="s">
        <v>62</v>
      </c>
      <c r="B25" s="122">
        <f>_xlfn.IFNA(C25,B24+1)</f>
        <v>4</v>
      </c>
      <c r="C25" s="122" t="e">
        <f>MATCH($C$17,A5:A13,0)</f>
        <v>#N/A</v>
      </c>
      <c r="I25" s="122">
        <f>I24+1</f>
        <v>4</v>
      </c>
      <c r="P25" s="122">
        <f>P24+1</f>
        <v>4</v>
      </c>
    </row>
    <row r="26" spans="1:17" x14ac:dyDescent="0.2">
      <c r="A26" s="122" t="s">
        <v>63</v>
      </c>
      <c r="B26" s="122">
        <f>MATCH($B18,B3:F3,1)</f>
        <v>3</v>
      </c>
      <c r="I26" s="122">
        <f>MATCH($B18,I3:M3,1)</f>
        <v>3</v>
      </c>
      <c r="P26" s="122">
        <f>MATCH($B18,P3:T3,1)</f>
        <v>3</v>
      </c>
    </row>
    <row r="27" spans="1:17" x14ac:dyDescent="0.2">
      <c r="A27" s="122" t="s">
        <v>64</v>
      </c>
      <c r="B27" s="122">
        <f>_xlfn.IFNA(C27,B26+1)</f>
        <v>3</v>
      </c>
      <c r="C27" s="122">
        <f>MATCH($B$18,B3:F3,0)</f>
        <v>3</v>
      </c>
      <c r="I27" s="122">
        <f>_xlfn.IFNA(J27,I26+1)</f>
        <v>3</v>
      </c>
      <c r="J27" s="122">
        <f>MATCH($B18,I3:M3,0)</f>
        <v>3</v>
      </c>
      <c r="P27" s="122">
        <f>_xlfn.IFNA(Q27,P26+1)</f>
        <v>3</v>
      </c>
      <c r="Q27" s="122">
        <f>MATCH($B18,P3:T3,0)</f>
        <v>3</v>
      </c>
    </row>
    <row r="29" spans="1:17" x14ac:dyDescent="0.2">
      <c r="A29" s="122" t="s">
        <v>65</v>
      </c>
      <c r="B29" s="168" cm="1">
        <f t="array" ref="B29">INDEX(B5:F13,B24,B26)</f>
        <v>1115</v>
      </c>
      <c r="C29" s="169">
        <f>B29*0.305</f>
        <v>340.07499999999999</v>
      </c>
      <c r="I29" s="168" cm="1">
        <f t="array" ref="I29">INDEX(I5:M13,I24,I26)</f>
        <v>905</v>
      </c>
      <c r="P29" s="168" cm="1">
        <f t="array" ref="P29">INDEX(P5:T13,P24,P26)</f>
        <v>725</v>
      </c>
    </row>
    <row r="30" spans="1:17" x14ac:dyDescent="0.2">
      <c r="A30" s="122" t="s">
        <v>66</v>
      </c>
      <c r="B30" s="168" cm="1">
        <f t="array" ref="B30">INDEX(B5:F13,B24,B27)</f>
        <v>1115</v>
      </c>
      <c r="C30" s="169">
        <f t="shared" ref="C30:C32" si="0">B30*0.305</f>
        <v>340.07499999999999</v>
      </c>
      <c r="I30" s="168" cm="1">
        <f t="array" ref="I30">INDEX(I5:M13,I24,I27)</f>
        <v>905</v>
      </c>
      <c r="P30" s="168" cm="1">
        <f t="array" ref="P30">INDEX(P5:T13,P24,P27)</f>
        <v>725</v>
      </c>
    </row>
    <row r="31" spans="1:17" x14ac:dyDescent="0.2">
      <c r="A31" s="122" t="s">
        <v>67</v>
      </c>
      <c r="B31" s="168" cm="1">
        <f t="array" ref="B31">INDEX(B5:F13,B25,B26)</f>
        <v>1230</v>
      </c>
      <c r="C31" s="169">
        <f t="shared" si="0"/>
        <v>375.15</v>
      </c>
      <c r="I31" s="168" cm="1">
        <f t="array" ref="I31">INDEX(I5:M13,I25,I26)</f>
        <v>995</v>
      </c>
      <c r="P31" s="168" cm="1">
        <f t="array" ref="P31">INDEX(P5:T13,P25,P26)</f>
        <v>800</v>
      </c>
    </row>
    <row r="32" spans="1:17" x14ac:dyDescent="0.2">
      <c r="A32" s="122" t="s">
        <v>68</v>
      </c>
      <c r="B32" s="168" cm="1">
        <f t="array" ref="B32">INDEX(B5:F13,B25,B27)</f>
        <v>1230</v>
      </c>
      <c r="C32" s="169">
        <f t="shared" si="0"/>
        <v>375.15</v>
      </c>
      <c r="I32" s="168" cm="1">
        <f t="array" ref="I32">INDEX(I5:M13,I25,I27)</f>
        <v>995</v>
      </c>
      <c r="P32" s="168" cm="1">
        <f t="array" ref="P32">INDEX(P5:T13,P25,P27)</f>
        <v>800</v>
      </c>
    </row>
    <row r="33" spans="1:17" x14ac:dyDescent="0.2">
      <c r="P33" s="123"/>
      <c r="Q33" s="123"/>
    </row>
    <row r="34" spans="1:17" x14ac:dyDescent="0.2">
      <c r="A34" s="167" t="s">
        <v>69</v>
      </c>
      <c r="P34" s="123"/>
      <c r="Q34" s="123"/>
    </row>
    <row r="35" spans="1:17" x14ac:dyDescent="0.2">
      <c r="A35" s="122" t="s">
        <v>70</v>
      </c>
      <c r="B35" s="170">
        <f>IF(B29=B30, B30,_xlfn.FORECAST.LINEAR($B18,B29:B30,INDEX(B3:F3,1,B26):INDEX(B3:F3,1,B27)))</f>
        <v>1115</v>
      </c>
      <c r="C35" s="169">
        <f>B35*0.305</f>
        <v>340.07499999999999</v>
      </c>
      <c r="I35" s="170">
        <f>IF(I29=I30, I30,_xlfn.FORECAST.LINEAR($B18,I29:I30,INDEX(I3:M3,1,I26):INDEX(I3:M3,1,I27)))</f>
        <v>905</v>
      </c>
      <c r="P35" s="170">
        <f>IF(P29=P30, P30,_xlfn.FORECAST.LINEAR($B18,P29:P30,INDEX(P3:T3,1,P26):INDEX(P3:T3,1,P27)))</f>
        <v>725</v>
      </c>
      <c r="Q35" s="123"/>
    </row>
    <row r="36" spans="1:17" x14ac:dyDescent="0.2">
      <c r="A36" s="122" t="s">
        <v>71</v>
      </c>
      <c r="B36" s="170">
        <f>IF(B31=B32,B32,_xlfn.FORECAST.LINEAR($B18,B31:B32,INDEX(B3:F3,1,B26):INDEX(B3:F3,1,B27)))</f>
        <v>1230</v>
      </c>
      <c r="C36" s="169">
        <f t="shared" ref="C36:C37" si="1">B36*0.305</f>
        <v>375.15</v>
      </c>
      <c r="I36" s="170">
        <f>IF(I31=I32,I32,_xlfn.FORECAST.LINEAR($B18,I31:I32,INDEX(I3:M3,1,I26):INDEX(I3:M3,1,I27)))</f>
        <v>995</v>
      </c>
      <c r="P36" s="170">
        <f>IF(P31=P32,P32,_xlfn.FORECAST.LINEAR($B18,P31:P32,INDEX(P3:T3,1,P26):INDEX(P3:T3,1,P27)))</f>
        <v>800</v>
      </c>
      <c r="Q36" s="123"/>
    </row>
    <row r="37" spans="1:17" x14ac:dyDescent="0.2">
      <c r="A37" s="122" t="s">
        <v>72</v>
      </c>
      <c r="B37" s="170">
        <f>IF(B35=B36,B36,_xlfn.FORECAST.LINEAR($C17,B35:B36,INDEX(A5:A13,B24):INDEX(A5:A13,B25)))</f>
        <v>1132.5662500000001</v>
      </c>
      <c r="C37" s="169">
        <f t="shared" si="1"/>
        <v>345.43270625000002</v>
      </c>
      <c r="I37" s="170">
        <f>_xlfn.FORECAST.LINEAR($C17,I35:I36,INDEX(H5:H13,I24):INDEX(H5:H13,I25))</f>
        <v>918.74749999999995</v>
      </c>
      <c r="P37" s="170">
        <f>_xlfn.FORECAST.LINEAR($C17,P35:P36,INDEX(O5:O13,P24):INDEX(O5:O13,P25))</f>
        <v>736.45624999999995</v>
      </c>
      <c r="Q37" s="123"/>
    </row>
    <row r="39" spans="1:17" x14ac:dyDescent="0.2">
      <c r="A39" s="167" t="s">
        <v>73</v>
      </c>
    </row>
    <row r="40" spans="1:17" x14ac:dyDescent="0.2">
      <c r="A40" s="171">
        <v>2000</v>
      </c>
      <c r="B40" s="170">
        <f>P37</f>
        <v>736.45624999999995</v>
      </c>
      <c r="C40" s="169">
        <f>B40*0.305</f>
        <v>224.61915624999997</v>
      </c>
    </row>
    <row r="41" spans="1:17" x14ac:dyDescent="0.2">
      <c r="A41" s="171">
        <v>2200</v>
      </c>
      <c r="B41" s="170">
        <f>I37</f>
        <v>918.74749999999995</v>
      </c>
      <c r="C41" s="169">
        <f t="shared" ref="C41:C42" si="2">B41*0.305</f>
        <v>280.21798749999999</v>
      </c>
    </row>
    <row r="42" spans="1:17" x14ac:dyDescent="0.2">
      <c r="A42" s="171">
        <v>2400</v>
      </c>
      <c r="B42" s="170">
        <f>B37</f>
        <v>1132.5662500000001</v>
      </c>
      <c r="C42" s="169">
        <f t="shared" si="2"/>
        <v>345.43270625000002</v>
      </c>
    </row>
    <row r="44" spans="1:17" x14ac:dyDescent="0.2">
      <c r="A44" s="172" t="str">
        <f>"Ground Roll for " &amp; B21 &amp; " lbs"</f>
        <v>Ground Roll for 1521.5 lbs</v>
      </c>
    </row>
    <row r="45" spans="1:17" x14ac:dyDescent="0.2">
      <c r="A45" s="122" t="s">
        <v>74</v>
      </c>
      <c r="B45" s="122">
        <f>MATCH(D21,A40:A42,1)</f>
        <v>1</v>
      </c>
    </row>
    <row r="46" spans="1:17" x14ac:dyDescent="0.2">
      <c r="A46" s="122" t="s">
        <v>75</v>
      </c>
      <c r="B46" s="122">
        <f>_xlfn.IFNA(C46, B45+1)</f>
        <v>1</v>
      </c>
      <c r="C46" s="122">
        <f>MATCH(D21,A40:A42,0)</f>
        <v>1</v>
      </c>
    </row>
    <row r="47" spans="1:17" x14ac:dyDescent="0.2">
      <c r="A47" s="122" t="s">
        <v>72</v>
      </c>
      <c r="B47" s="168" cm="1">
        <f t="array" ref="B47">IF(B45=B46,INDEX(B40:B42,B46),_xlfn.FORECAST.LINEAR(D21,INDEX(B40:B42,B45):INDEX(B40:B42,B46),INDEX(A40:A42,B45):INDEX(A40:A42,B46)))</f>
        <v>736.45624999999995</v>
      </c>
    </row>
    <row r="49" spans="1:4" x14ac:dyDescent="0.2">
      <c r="A49" s="167" t="s">
        <v>76</v>
      </c>
    </row>
    <row r="50" spans="1:4" x14ac:dyDescent="0.2">
      <c r="A50" s="122" t="s">
        <v>77</v>
      </c>
      <c r="B50" s="122">
        <f>ABS(0.1*MIN(0, B19/2))</f>
        <v>0</v>
      </c>
    </row>
    <row r="51" spans="1:4" x14ac:dyDescent="0.2">
      <c r="A51" s="122" t="s">
        <v>78</v>
      </c>
      <c r="B51" s="122">
        <f>0.1*MAX(0, B19/9)</f>
        <v>0</v>
      </c>
    </row>
    <row r="52" spans="1:4" s="167" customFormat="1" x14ac:dyDescent="0.2">
      <c r="A52" s="167" t="s">
        <v>72</v>
      </c>
      <c r="B52" s="173">
        <f>B47*(1-B51)*(1+B50)</f>
        <v>736.45624999999995</v>
      </c>
      <c r="C52" s="173">
        <f>B52*(1+B20)</f>
        <v>846.92468749999989</v>
      </c>
      <c r="D52" s="174">
        <f>C52*0.305</f>
        <v>258.31202968749994</v>
      </c>
    </row>
  </sheetData>
  <sheetProtection algorithmName="SHA-512" hashValue="aHXaIE4ncECzQubRbv4V6sx4Z09vpBDSTB3m8YgmOln8+zQDvkAvsmwZITlLHHTzrJWPNlNPjrg0rUbRQlqb7g==" saltValue="qMxxu7XIcYg47CNXbYDtfw==" spinCount="100000" sheet="1" objects="1" scenarios="1"/>
  <mergeCells count="3">
    <mergeCell ref="A1:F1"/>
    <mergeCell ref="H1:M1"/>
    <mergeCell ref="O1:T1"/>
  </mergeCells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8</vt:i4>
      </vt:variant>
    </vt:vector>
  </HeadingPairs>
  <TitlesOfParts>
    <vt:vector size="11" baseType="lpstr">
      <vt:lpstr>Input_Output</vt:lpstr>
      <vt:lpstr>Definitions</vt:lpstr>
      <vt:lpstr>Takeoff Distance Calculation</vt:lpstr>
      <vt:lpstr>kg_gal</vt:lpstr>
      <vt:lpstr>kg_lbs</vt:lpstr>
      <vt:lpstr>lbs_gal</vt:lpstr>
      <vt:lpstr>liter_gal</vt:lpstr>
      <vt:lpstr>liter_kg</vt:lpstr>
      <vt:lpstr>m_inch</vt:lpstr>
      <vt:lpstr>Max_Wing_Fuel</vt:lpstr>
      <vt:lpstr>Input_Output!Print_Area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2008-06-30T12:49:08Z</cp:lastPrinted>
  <dcterms:created xsi:type="dcterms:W3CDTF">1900-12-31T23:00:00Z</dcterms:created>
  <dcterms:modified xsi:type="dcterms:W3CDTF">2020-09-01T18:49:38Z</dcterms:modified>
</cp:coreProperties>
</file>